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wscroggins\Documents\Cabinet\"/>
    </mc:Choice>
  </mc:AlternateContent>
  <bookViews>
    <workbookView xWindow="0" yWindow="0" windowWidth="14400" windowHeight="3930"/>
  </bookViews>
  <sheets>
    <sheet name="Nonresident Fee Wrksht &amp; Form" sheetId="3" r:id="rId1"/>
    <sheet name="Data Table" sheetId="2" r:id="rId2"/>
    <sheet name="CPI &amp; 12 State Average Info" sheetId="7" r:id="rId3"/>
  </sheets>
  <definedNames>
    <definedName name="_xlnm.Print_Area" localSheetId="0">'Nonresident Fee Wrksht &amp; Form'!$B$2:$E$84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2" l="1"/>
  <c r="J3" i="2"/>
  <c r="K3" i="2"/>
  <c r="L3" i="2" s="1"/>
  <c r="I3" i="2" l="1"/>
  <c r="E43" i="3"/>
  <c r="E25" i="3"/>
  <c r="B59" i="3"/>
  <c r="D40" i="7"/>
  <c r="E16" i="7"/>
  <c r="E20" i="3" s="1"/>
  <c r="E70" i="3"/>
  <c r="E71" i="3"/>
  <c r="E68" i="3"/>
  <c r="E67" i="3"/>
  <c r="D4" i="3"/>
  <c r="E34" i="3" s="1"/>
  <c r="E69" i="3"/>
  <c r="E72" i="3"/>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K4" i="2"/>
  <c r="L4" i="2" s="1"/>
  <c r="K5" i="2"/>
  <c r="L5" i="2" s="1"/>
  <c r="K6" i="2"/>
  <c r="L6" i="2" s="1"/>
  <c r="K7" i="2"/>
  <c r="L7" i="2" s="1"/>
  <c r="K8" i="2"/>
  <c r="L8" i="2" s="1"/>
  <c r="K9" i="2"/>
  <c r="L9" i="2" s="1"/>
  <c r="K10" i="2"/>
  <c r="L10" i="2" s="1"/>
  <c r="K11" i="2"/>
  <c r="L11" i="2" s="1"/>
  <c r="K12" i="2"/>
  <c r="L12" i="2" s="1"/>
  <c r="K13" i="2"/>
  <c r="L13" i="2" s="1"/>
  <c r="K14" i="2"/>
  <c r="L14" i="2" s="1"/>
  <c r="K15" i="2"/>
  <c r="L15" i="2" s="1"/>
  <c r="K16" i="2"/>
  <c r="L16" i="2" s="1"/>
  <c r="K17" i="2"/>
  <c r="L17" i="2" s="1"/>
  <c r="K18" i="2"/>
  <c r="L18" i="2" s="1"/>
  <c r="K19" i="2"/>
  <c r="L19" i="2" s="1"/>
  <c r="K20" i="2"/>
  <c r="L20" i="2" s="1"/>
  <c r="K21" i="2"/>
  <c r="L21" i="2" s="1"/>
  <c r="K22" i="2"/>
  <c r="L22" i="2" s="1"/>
  <c r="K23" i="2"/>
  <c r="L23" i="2" s="1"/>
  <c r="K24" i="2"/>
  <c r="L24" i="2" s="1"/>
  <c r="K25" i="2"/>
  <c r="L25" i="2" s="1"/>
  <c r="K26" i="2"/>
  <c r="L26" i="2" s="1"/>
  <c r="K27" i="2"/>
  <c r="L27" i="2" s="1"/>
  <c r="K28" i="2"/>
  <c r="L28" i="2" s="1"/>
  <c r="K29" i="2"/>
  <c r="L29" i="2" s="1"/>
  <c r="K30" i="2"/>
  <c r="L30" i="2" s="1"/>
  <c r="K31" i="2"/>
  <c r="L31" i="2" s="1"/>
  <c r="K32" i="2"/>
  <c r="L32" i="2" s="1"/>
  <c r="K33" i="2"/>
  <c r="L33" i="2" s="1"/>
  <c r="K34" i="2"/>
  <c r="L34" i="2" s="1"/>
  <c r="K35" i="2"/>
  <c r="L35" i="2" s="1"/>
  <c r="K36" i="2"/>
  <c r="L36" i="2" s="1"/>
  <c r="K37" i="2"/>
  <c r="L37" i="2" s="1"/>
  <c r="K38" i="2"/>
  <c r="L38" i="2" s="1"/>
  <c r="K39" i="2"/>
  <c r="L39" i="2" s="1"/>
  <c r="K40" i="2"/>
  <c r="L40" i="2" s="1"/>
  <c r="K41" i="2"/>
  <c r="L41" i="2" s="1"/>
  <c r="K42" i="2"/>
  <c r="L42" i="2" s="1"/>
  <c r="K43" i="2"/>
  <c r="L43" i="2" s="1"/>
  <c r="K44" i="2"/>
  <c r="L44" i="2" s="1"/>
  <c r="K45" i="2"/>
  <c r="L45" i="2" s="1"/>
  <c r="K46" i="2"/>
  <c r="L46" i="2" s="1"/>
  <c r="K47" i="2"/>
  <c r="L47" i="2" s="1"/>
  <c r="K48" i="2"/>
  <c r="L48" i="2" s="1"/>
  <c r="K49" i="2"/>
  <c r="L49" i="2" s="1"/>
  <c r="K50" i="2"/>
  <c r="L50" i="2" s="1"/>
  <c r="K51" i="2"/>
  <c r="L51" i="2" s="1"/>
  <c r="K52" i="2"/>
  <c r="L52" i="2" s="1"/>
  <c r="K53" i="2"/>
  <c r="L53" i="2" s="1"/>
  <c r="K54" i="2"/>
  <c r="L54" i="2" s="1"/>
  <c r="K55" i="2"/>
  <c r="L55" i="2" s="1"/>
  <c r="K56" i="2"/>
  <c r="L56" i="2" s="1"/>
  <c r="K57" i="2"/>
  <c r="L57" i="2" s="1"/>
  <c r="K58" i="2"/>
  <c r="L58" i="2" s="1"/>
  <c r="K59" i="2"/>
  <c r="L59" i="2" s="1"/>
  <c r="K60" i="2"/>
  <c r="L60" i="2" s="1"/>
  <c r="K61" i="2"/>
  <c r="L61" i="2" s="1"/>
  <c r="K62" i="2"/>
  <c r="L62" i="2" s="1"/>
  <c r="K63" i="2"/>
  <c r="L63" i="2" s="1"/>
  <c r="K64" i="2"/>
  <c r="L64" i="2" s="1"/>
  <c r="K65" i="2"/>
  <c r="L65" i="2" s="1"/>
  <c r="K66" i="2"/>
  <c r="K67" i="2"/>
  <c r="L67" i="2" s="1"/>
  <c r="K68" i="2"/>
  <c r="L68" i="2" s="1"/>
  <c r="K69" i="2"/>
  <c r="I69" i="2" s="1"/>
  <c r="K70" i="2"/>
  <c r="L70" i="2" s="1"/>
  <c r="K71" i="2"/>
  <c r="L71" i="2" s="1"/>
  <c r="K72" i="2"/>
  <c r="L72" i="2" s="1"/>
  <c r="K73" i="2"/>
  <c r="L73" i="2" s="1"/>
  <c r="K74" i="2"/>
  <c r="L74" i="2" s="1"/>
  <c r="I46" i="2"/>
  <c r="E8" i="3"/>
  <c r="E66" i="3"/>
  <c r="D42" i="3" l="1"/>
  <c r="I6" i="2"/>
  <c r="I65" i="2"/>
  <c r="I66" i="2"/>
  <c r="E11" i="3"/>
  <c r="E28" i="3"/>
  <c r="I63" i="2"/>
  <c r="I9" i="2"/>
  <c r="I37" i="2"/>
  <c r="I59" i="2"/>
  <c r="I39" i="2"/>
  <c r="I25" i="2"/>
  <c r="I21" i="2"/>
  <c r="I71" i="2"/>
  <c r="I74" i="2"/>
  <c r="E16" i="3" s="1"/>
  <c r="I43" i="2"/>
  <c r="I5" i="2"/>
  <c r="I29" i="2"/>
  <c r="I24" i="2"/>
  <c r="I50" i="2"/>
  <c r="I36" i="2"/>
  <c r="I53" i="2"/>
  <c r="I31" i="2"/>
  <c r="I68" i="2"/>
  <c r="I57" i="2"/>
  <c r="I22" i="2"/>
  <c r="L69" i="2"/>
  <c r="I7" i="2"/>
  <c r="I41" i="2"/>
  <c r="I11" i="2"/>
  <c r="I48" i="2"/>
  <c r="I45" i="2"/>
  <c r="I14" i="2"/>
  <c r="E54" i="3"/>
  <c r="E55" i="3" s="1"/>
  <c r="I15" i="2"/>
  <c r="I55" i="2"/>
  <c r="I4" i="2"/>
  <c r="I52" i="2"/>
  <c r="I17" i="2"/>
  <c r="I33" i="2"/>
  <c r="I49" i="2"/>
  <c r="I18" i="2"/>
  <c r="I62" i="2"/>
  <c r="D34" i="3"/>
  <c r="I20" i="2"/>
  <c r="I13" i="2"/>
  <c r="I61" i="2"/>
  <c r="I30" i="2"/>
  <c r="I23" i="2"/>
  <c r="I34" i="2"/>
  <c r="E51" i="3"/>
  <c r="E52" i="3" s="1"/>
  <c r="E53" i="3" s="1"/>
  <c r="I27" i="2"/>
  <c r="I47" i="2"/>
  <c r="I8" i="2"/>
  <c r="I32" i="2"/>
  <c r="I73" i="2"/>
  <c r="D53" i="3"/>
  <c r="I19" i="2"/>
  <c r="I35" i="2"/>
  <c r="I51" i="2"/>
  <c r="I67" i="2"/>
  <c r="I16" i="2"/>
  <c r="I64" i="2"/>
  <c r="D30" i="3"/>
  <c r="E26" i="3"/>
  <c r="E27" i="3" s="1"/>
  <c r="E29" i="3" s="1"/>
  <c r="E30" i="3" s="1"/>
  <c r="E42" i="3" s="1"/>
  <c r="I40" i="2"/>
  <c r="D13" i="3"/>
  <c r="E47" i="3"/>
  <c r="D39" i="3"/>
  <c r="I56" i="2"/>
  <c r="I72" i="2"/>
  <c r="I38" i="2"/>
  <c r="I54" i="2"/>
  <c r="I70" i="2"/>
  <c r="I12" i="2"/>
  <c r="I28" i="2"/>
  <c r="I44" i="2"/>
  <c r="I60" i="2"/>
  <c r="I10" i="2"/>
  <c r="I26" i="2"/>
  <c r="I42" i="2"/>
  <c r="I58" i="2"/>
  <c r="E9" i="3"/>
  <c r="E10" i="3" s="1"/>
  <c r="E12" i="3" s="1"/>
  <c r="E13" i="3" s="1"/>
  <c r="L66" i="2"/>
  <c r="D22" i="3"/>
  <c r="D47" i="3"/>
  <c r="D44" i="3"/>
  <c r="E18" i="3" l="1"/>
  <c r="E19" i="3" s="1"/>
  <c r="E21" i="3" s="1"/>
  <c r="E22" i="3" s="1"/>
  <c r="E56" i="3"/>
  <c r="D75" i="3" s="1"/>
</calcChain>
</file>

<file path=xl/sharedStrings.xml><?xml version="1.0" encoding="utf-8"?>
<sst xmlns="http://schemas.openxmlformats.org/spreadsheetml/2006/main" count="385" uniqueCount="286">
  <si>
    <t>District</t>
  </si>
  <si>
    <t xml:space="preserve">*" Expense of Education" is defined in the Budget and Accounting Manual as including all General Fund expenditures, restricted and unrestricted, for all objects of expenditure 1000 through 5000 and all expenditures of activity from 0100 through 6700.  For the purposes of calculating the Nonresident Tuition Fee, Expense of Education is different than the 50% Law "current expense of education". </t>
  </si>
  <si>
    <t>** Includes credit and noncredit FTES and nonresident students.</t>
  </si>
  <si>
    <t>Statewide Average Cost</t>
  </si>
  <si>
    <t>District Average Cost</t>
  </si>
  <si>
    <t>Contiguous District</t>
  </si>
  <si>
    <t>Annual Attendance FTES</t>
  </si>
  <si>
    <t>A.</t>
  </si>
  <si>
    <t>B.</t>
  </si>
  <si>
    <t>C.</t>
  </si>
  <si>
    <t>D.</t>
  </si>
  <si>
    <t>E.</t>
  </si>
  <si>
    <t>F.</t>
  </si>
  <si>
    <t>G.</t>
  </si>
  <si>
    <t>Average Cost per FTES for Tuition Year (C x D)</t>
  </si>
  <si>
    <t>Resident Credit FTES</t>
  </si>
  <si>
    <t>Resident Noncredit FTES</t>
  </si>
  <si>
    <t>NONResident Credit FTES2</t>
  </si>
  <si>
    <t>NONResident Noncredit FTES3</t>
  </si>
  <si>
    <t>Total Noncredit</t>
  </si>
  <si>
    <t>Noncredit Percent of Total</t>
  </si>
  <si>
    <t>Noncredit FTES percent of Total</t>
  </si>
  <si>
    <t>Total Credit FTES</t>
  </si>
  <si>
    <t>Average Expense of Education per FTES (A/B)</t>
  </si>
  <si>
    <t>Fee</t>
  </si>
  <si>
    <t>2019-20</t>
  </si>
  <si>
    <t>Nonresident Capital Outlay Fee</t>
  </si>
  <si>
    <t>Capital outlay expense per FTES (A/B)</t>
  </si>
  <si>
    <t>Semester</t>
  </si>
  <si>
    <t>Nonresident Capital Outlay</t>
  </si>
  <si>
    <t>Phone:</t>
  </si>
  <si>
    <t>Email:</t>
  </si>
  <si>
    <t>Name:</t>
  </si>
  <si>
    <t>Title:</t>
  </si>
  <si>
    <t>Quarter</t>
  </si>
  <si>
    <t>A.2</t>
  </si>
  <si>
    <t xml:space="preserve">District Expense of Education for Base Year </t>
  </si>
  <si>
    <t xml:space="preserve">District CREDIT ONLY Expense of Education for Base Year </t>
  </si>
  <si>
    <t xml:space="preserve">Statewide Expense of Education for Base Year </t>
  </si>
  <si>
    <t>Statewide Annual Total FTES</t>
  </si>
  <si>
    <t>District Annual Total FTES</t>
  </si>
  <si>
    <t>California Community Colleges</t>
  </si>
  <si>
    <t>District:</t>
  </si>
  <si>
    <t>Antelope Valley Community College District</t>
  </si>
  <si>
    <t>Barstow Community College District</t>
  </si>
  <si>
    <t xml:space="preserve"> A.1</t>
  </si>
  <si>
    <t>B.1</t>
  </si>
  <si>
    <t>B.2</t>
  </si>
  <si>
    <t>Highest year of the succeeding, current, and 4 prior years.</t>
  </si>
  <si>
    <t>C</t>
  </si>
  <si>
    <t>D</t>
  </si>
  <si>
    <t>E</t>
  </si>
  <si>
    <t>Comparable States Average</t>
  </si>
  <si>
    <t>Nonresident Tuition Fee</t>
  </si>
  <si>
    <t>E - Comparable States Average</t>
  </si>
  <si>
    <t>Academic Term</t>
  </si>
  <si>
    <t>Term:</t>
  </si>
  <si>
    <t xml:space="preserve"> Basis for Adoption (Select one)</t>
  </si>
  <si>
    <t>Nonresident Tuition Fee Options</t>
  </si>
  <si>
    <t>Instructions:</t>
  </si>
  <si>
    <t>Adoption Date:</t>
  </si>
  <si>
    <t>U.S. Consumer Price Index Factor Calculation</t>
  </si>
  <si>
    <t>State</t>
  </si>
  <si>
    <t>Allan Hancock Community College District</t>
  </si>
  <si>
    <t>Butte Community College District</t>
  </si>
  <si>
    <t>Cabrillo Community College District</t>
  </si>
  <si>
    <t>Cerritos Community College District</t>
  </si>
  <si>
    <t>Chabot-Las Positas Community College District</t>
  </si>
  <si>
    <t>Chaffey Community College District</t>
  </si>
  <si>
    <t>Citrus Community College District</t>
  </si>
  <si>
    <t>Coast Community College District</t>
  </si>
  <si>
    <t>Compton Community College District</t>
  </si>
  <si>
    <t>Contra Costa Community College District</t>
  </si>
  <si>
    <t>Copper Mountain Community College District</t>
  </si>
  <si>
    <t>Desert Community College District</t>
  </si>
  <si>
    <t>El Camino Community College District</t>
  </si>
  <si>
    <t>Feather River Community College District</t>
  </si>
  <si>
    <t>Foothill-DeAnza Community College District</t>
  </si>
  <si>
    <t>Glendale Community College District</t>
  </si>
  <si>
    <t>Grossmont-Cuyamaca Community College District</t>
  </si>
  <si>
    <t>Hartnell Community College District</t>
  </si>
  <si>
    <t>Imperial Community College District</t>
  </si>
  <si>
    <t>Kern Community College District</t>
  </si>
  <si>
    <t>Lake Tahoe Community College District</t>
  </si>
  <si>
    <t>Lassen Community College District</t>
  </si>
  <si>
    <t>Long Beach Community College District</t>
  </si>
  <si>
    <t>Los Angeles Community College District</t>
  </si>
  <si>
    <t>Los Rios Community College District</t>
  </si>
  <si>
    <t>Marin Community College District</t>
  </si>
  <si>
    <t>Mendocino-Lake Community College District</t>
  </si>
  <si>
    <t>Merced Community College District</t>
  </si>
  <si>
    <t>MiraCosta Community College District</t>
  </si>
  <si>
    <t>Monterey Community College District</t>
  </si>
  <si>
    <t>X</t>
  </si>
  <si>
    <t>The district governing board has established Nonresident Fees as shown below.</t>
  </si>
  <si>
    <t>Mt. San Antonio Community College District</t>
  </si>
  <si>
    <t>Mt. San Jacinto Community College District</t>
  </si>
  <si>
    <t>Napa Community College District</t>
  </si>
  <si>
    <t>North Orange Community College District</t>
  </si>
  <si>
    <t>Ohlone Community College District</t>
  </si>
  <si>
    <t>Palo Verde Community College District</t>
  </si>
  <si>
    <t>Palomar Community College District</t>
  </si>
  <si>
    <t>Pasadena Community College District</t>
  </si>
  <si>
    <t>Peralta Community College District</t>
  </si>
  <si>
    <t>Rancho Santiago Community College District</t>
  </si>
  <si>
    <t>Redwoods Community College District</t>
  </si>
  <si>
    <t>Rio Hondo Community College District</t>
  </si>
  <si>
    <t>Riverside Community College District</t>
  </si>
  <si>
    <t>San Diego Community College District</t>
  </si>
  <si>
    <t>San Bernardino Community College District</t>
  </si>
  <si>
    <t>San Francisco Community College District</t>
  </si>
  <si>
    <t>San Joaquin Community College District</t>
  </si>
  <si>
    <t>San Jose-Evergreen Community College District</t>
  </si>
  <si>
    <t>San Luis Obispo Community College District</t>
  </si>
  <si>
    <t>San Mateo Community College District</t>
  </si>
  <si>
    <t>Santa Barbara Community College District</t>
  </si>
  <si>
    <t>Santa Clarita Community College District</t>
  </si>
  <si>
    <t>Santa Monica Community College District</t>
  </si>
  <si>
    <t>Sequoias Community College District</t>
  </si>
  <si>
    <t>Shasta-Tehama-Trinity Joint Community College District</t>
  </si>
  <si>
    <t>Gavilan Joint Community College District</t>
  </si>
  <si>
    <t>Sierra Joint Community College District</t>
  </si>
  <si>
    <t>Siskiyou Joint Community College District</t>
  </si>
  <si>
    <t>Solano Community College District</t>
  </si>
  <si>
    <t>Sonoma Community College District</t>
  </si>
  <si>
    <t>South Orange County Community College District</t>
  </si>
  <si>
    <t>Southwester Community College District</t>
  </si>
  <si>
    <t>State Center Community College District</t>
  </si>
  <si>
    <t>Ventura Community College District</t>
  </si>
  <si>
    <t>Victor Valley Community College District</t>
  </si>
  <si>
    <t>West Hills Community College District</t>
  </si>
  <si>
    <t>West Kern Community College District</t>
  </si>
  <si>
    <t>West Valley Community College District</t>
  </si>
  <si>
    <t>Yosemite Community College District</t>
  </si>
  <si>
    <t>Yuba Community College District</t>
  </si>
  <si>
    <t>&lt;-- If less than $1, will show as $0</t>
  </si>
  <si>
    <t xml:space="preserve">ALLAN HANCOCK                                          </t>
  </si>
  <si>
    <t xml:space="preserve">ANTELOPE VALLEY                                        </t>
  </si>
  <si>
    <t xml:space="preserve">BARSTOW                                                </t>
  </si>
  <si>
    <t xml:space="preserve">BUTTE                                                  </t>
  </si>
  <si>
    <t xml:space="preserve">CABRILLO                                               </t>
  </si>
  <si>
    <t xml:space="preserve">CERRITOS                                               </t>
  </si>
  <si>
    <t xml:space="preserve">CHABOT-LAS POSITAS                                     </t>
  </si>
  <si>
    <t xml:space="preserve">CHAFFEY                                                </t>
  </si>
  <si>
    <t xml:space="preserve">CITRUS                                                 </t>
  </si>
  <si>
    <t xml:space="preserve">COAST                                                  </t>
  </si>
  <si>
    <t xml:space="preserve">COMPTON                                                </t>
  </si>
  <si>
    <t xml:space="preserve">CONTRA COSTA                                           </t>
  </si>
  <si>
    <t xml:space="preserve">COPPER MOUNTAIN                                        </t>
  </si>
  <si>
    <t xml:space="preserve">DESERT                                                 </t>
  </si>
  <si>
    <t xml:space="preserve">EL CAMINO                                              </t>
  </si>
  <si>
    <t xml:space="preserve">FEATHER RIVER                                          </t>
  </si>
  <si>
    <t xml:space="preserve">FOOTHILL-DEANZA                                        </t>
  </si>
  <si>
    <t xml:space="preserve">GAVILAN                                                </t>
  </si>
  <si>
    <t xml:space="preserve">GLENDALE                                               </t>
  </si>
  <si>
    <t xml:space="preserve">GROSSMONT                                              </t>
  </si>
  <si>
    <t xml:space="preserve">HARTNELL                                               </t>
  </si>
  <si>
    <t xml:space="preserve">IMPERIAL                                               </t>
  </si>
  <si>
    <t xml:space="preserve">KERN                                                   </t>
  </si>
  <si>
    <t xml:space="preserve">LAKE TAHOE                                             </t>
  </si>
  <si>
    <t xml:space="preserve">LASSEN                                                 </t>
  </si>
  <si>
    <t xml:space="preserve">LONG BEACH                                             </t>
  </si>
  <si>
    <t xml:space="preserve">LOS ANGELES                                            </t>
  </si>
  <si>
    <t xml:space="preserve">LOS RIOS                                               </t>
  </si>
  <si>
    <t xml:space="preserve">MARIN                                                  </t>
  </si>
  <si>
    <t xml:space="preserve">MENDOCINO-LAKE                                         </t>
  </si>
  <si>
    <t xml:space="preserve">MERCED                                                 </t>
  </si>
  <si>
    <t xml:space="preserve">MIRACOSTA                                              </t>
  </si>
  <si>
    <t xml:space="preserve">MONTEREY                                               </t>
  </si>
  <si>
    <t xml:space="preserve">MT. SAN ANTONIO                                        </t>
  </si>
  <si>
    <t xml:space="preserve">MT. SAN JACINTO                                        </t>
  </si>
  <si>
    <t xml:space="preserve">NAPA                                                   </t>
  </si>
  <si>
    <t xml:space="preserve">NORTH ORANGE                                           </t>
  </si>
  <si>
    <t xml:space="preserve">OHLONE                                                 </t>
  </si>
  <si>
    <t xml:space="preserve">PALO VERDE                                             </t>
  </si>
  <si>
    <t xml:space="preserve">PALOMAR                                                </t>
  </si>
  <si>
    <t xml:space="preserve">PASADENA                                               </t>
  </si>
  <si>
    <t xml:space="preserve">PERALTA                                                </t>
  </si>
  <si>
    <t xml:space="preserve">RANCHO SANTIAGO                                        </t>
  </si>
  <si>
    <t xml:space="preserve">REDWOODS                                               </t>
  </si>
  <si>
    <t xml:space="preserve">RIO HONDO                                              </t>
  </si>
  <si>
    <t xml:space="preserve">RIVERSIDE                                              </t>
  </si>
  <si>
    <t xml:space="preserve">SAN BERNARDINO                                         </t>
  </si>
  <si>
    <t xml:space="preserve">SAN DIEGO                                              </t>
  </si>
  <si>
    <t xml:space="preserve">SAN FRANCISCO                                          </t>
  </si>
  <si>
    <t xml:space="preserve">SAN JOAQUIN DELTA                                      </t>
  </si>
  <si>
    <t xml:space="preserve">SAN JOSE-EVERGREEN                                     </t>
  </si>
  <si>
    <t xml:space="preserve">SAN LUIS OBISPO                                        </t>
  </si>
  <si>
    <t xml:space="preserve">SAN MATEO                                              </t>
  </si>
  <si>
    <t xml:space="preserve">SANTA BARBARA                                          </t>
  </si>
  <si>
    <t xml:space="preserve">SANTA CLARITA                                          </t>
  </si>
  <si>
    <t xml:space="preserve">SANTA MONICA                                           </t>
  </si>
  <si>
    <t xml:space="preserve">SEQUOIAS                                               </t>
  </si>
  <si>
    <t xml:space="preserve">SHASTA-TEH-TRI                                         </t>
  </si>
  <si>
    <t xml:space="preserve">SIERRA                                                 </t>
  </si>
  <si>
    <t xml:space="preserve">SISKIYOU                                               </t>
  </si>
  <si>
    <t xml:space="preserve">SOLANO                                                 </t>
  </si>
  <si>
    <t xml:space="preserve">SONOMA                                                 </t>
  </si>
  <si>
    <t xml:space="preserve">SOUTH ORANGE                                           </t>
  </si>
  <si>
    <t xml:space="preserve">SOUTHWESTERN                                           </t>
  </si>
  <si>
    <t xml:space="preserve">STATE CENTER                                           </t>
  </si>
  <si>
    <t xml:space="preserve">VICTOR VALLEY                                          </t>
  </si>
  <si>
    <t xml:space="preserve">WEST HILLS                                             </t>
  </si>
  <si>
    <t xml:space="preserve">WEST KERN                                              </t>
  </si>
  <si>
    <t xml:space="preserve">WEST VALLEY                                            </t>
  </si>
  <si>
    <t xml:space="preserve">YOSEMITE                                               </t>
  </si>
  <si>
    <t xml:space="preserve">YUBA                                                   </t>
  </si>
  <si>
    <t>List for Wrksht Contiguous District Choice</t>
  </si>
  <si>
    <t>http://www.dof.ca.gov/Forecasting/Economics/Eco_Forecasts_Us_Ca/index.html</t>
  </si>
  <si>
    <t>Select the Consumer Price Index Forecast - Annual &amp; Monthly workbook</t>
  </si>
  <si>
    <t>Data source:</t>
  </si>
  <si>
    <t>Select tab "Fiscal Year"</t>
  </si>
  <si>
    <t xml:space="preserve">Scroll right to find percent increase for the current fiscal year and succeeding fiscal year </t>
  </si>
  <si>
    <t>(a)</t>
  </si>
  <si>
    <t>Current FY</t>
  </si>
  <si>
    <t>Row:  US CPI-W ALL ITEMS</t>
  </si>
  <si>
    <t>Succeeding FY</t>
  </si>
  <si>
    <t>(b)</t>
  </si>
  <si>
    <t>Percent Change from Prior Year</t>
  </si>
  <si>
    <t>Fiscal Year</t>
  </si>
  <si>
    <t xml:space="preserve">US CPI-W </t>
  </si>
  <si>
    <t>Education Code section 76140 specifies that the cost of education should be "increased by the projected percent increase in the United States Consumer Price Index as determined by the Department of Finance for the current fiscal year and  succeeding fiscal year.</t>
  </si>
  <si>
    <t xml:space="preserve">U.S. Consumer Price Index Compound Factor </t>
  </si>
  <si>
    <t>US CPI Compound Factor</t>
  </si>
  <si>
    <t>The Chancellor's Office uses US CPI - W  ALL ITEMS to calculate the CPI compound factor.</t>
  </si>
  <si>
    <t xml:space="preserve">Data Source to determine comparable states: </t>
  </si>
  <si>
    <t>(a) x (b)</t>
  </si>
  <si>
    <t>https://www.missourieconomy.org/indicators/cost_of_living/</t>
  </si>
  <si>
    <t>Average Nonresident Fee per Credit</t>
  </si>
  <si>
    <t>Washington</t>
  </si>
  <si>
    <t>Maine</t>
  </si>
  <si>
    <t>Vermont</t>
  </si>
  <si>
    <t>Rhode Island</t>
  </si>
  <si>
    <t>New Jersey</t>
  </si>
  <si>
    <t>Massachusetts</t>
  </si>
  <si>
    <t>Maryland</t>
  </si>
  <si>
    <t>Oregon</t>
  </si>
  <si>
    <t>Alaska</t>
  </si>
  <si>
    <t>Connecticut</t>
  </si>
  <si>
    <t>New York</t>
  </si>
  <si>
    <t>Hawaii</t>
  </si>
  <si>
    <t>Education Code section 76140 (e )(1)(E ) calls for an amount no greater than the average of the nonresident tuition fees of public community colleges of no less than 12 states comparable in cost of living to California as determined by the U.S. Dept. of Labor composite cost of living index or a cooperating government agency.</t>
  </si>
  <si>
    <t xml:space="preserve">Additional research is performed at the Chancellor's Office to determine the states' community college average nonresident tution per credit.  A summary of results is shown below.  </t>
  </si>
  <si>
    <t>Average</t>
  </si>
  <si>
    <t>&lt;--  If option A.2 is desired, enter expense information here.</t>
  </si>
  <si>
    <t>&lt;-- Enter chosen contiguous district's nonresident tuition fee.</t>
  </si>
  <si>
    <t>&lt;-- If option C is desired, select the chosen contiguous district form the drop down menu.</t>
  </si>
  <si>
    <t xml:space="preserve">&lt;-- If a nonresident capital outlay fee is desired, enter district's capital outlay expense on this line. </t>
  </si>
  <si>
    <t>&lt;-- Select "X" in one box.  The fee will automatically populate from the worksheet.</t>
  </si>
  <si>
    <t>&lt;-- Enter contact information here.</t>
  </si>
  <si>
    <t>Contact Information</t>
  </si>
  <si>
    <t>Signature:</t>
  </si>
  <si>
    <t>&lt;-- print, sign, scan as pdf</t>
  </si>
  <si>
    <t>&lt;--- Send to fiscalstandards@cccco.edu; Subject: 2019-20 Nonresident Fees</t>
  </si>
  <si>
    <t>&lt;-- Enter date of district governing board adoption here.</t>
  </si>
  <si>
    <t>&lt;--Select district from drop down menu.  This will pre-populate most worksheet data.</t>
  </si>
  <si>
    <t>&lt;-- Select  "X" in this box and enter the adopted Nonresident Capital Outlay Fee.</t>
  </si>
  <si>
    <t>&lt;-- Select Basis for Adoption on form below ("X" in one of cells C66-72) to pre-populate this cell.</t>
  </si>
  <si>
    <t>Between Statewide Average Expense of Education and District Expense of Education</t>
  </si>
  <si>
    <r>
      <t xml:space="preserve">&lt;-- Ed Code, section 76140 ( e)(1)(D) states that the maximum for this option is "an amount not to exceed the amount that was expended by the district for the expense of education,…"  Ed Code does not call for a comparison with the district </t>
    </r>
    <r>
      <rPr>
        <b/>
        <u/>
        <sz val="10"/>
        <rFont val="Source Sans Pro"/>
        <family val="2"/>
      </rPr>
      <t>average</t>
    </r>
    <r>
      <rPr>
        <sz val="10"/>
        <rFont val="Source Sans Pro"/>
        <family val="2"/>
      </rPr>
      <t xml:space="preserve"> expense of education.</t>
    </r>
  </si>
  <si>
    <t>&lt;-- Districts' total expense of education ranges from $15.7 million to $800.4 million.</t>
  </si>
  <si>
    <t xml:space="preserve">&lt;-- If option D is desired, enter a figure on this line that is no no less than the statewide average cost minimum and no greater than the total district expense of education.  </t>
  </si>
  <si>
    <t>Maximum (District Total Expense of Education)</t>
  </si>
  <si>
    <t>&lt;-- Enter an amount less than or equal to the contiguous district's fee.</t>
  </si>
  <si>
    <t>Maximum Fee (Contiguous District Nonresident Tution Fee)</t>
  </si>
  <si>
    <t>C - Contiguous District</t>
  </si>
  <si>
    <t>D - Between Statewide Average Expense of Education &amp; District Expense of Education</t>
  </si>
  <si>
    <t>District Average Cost with 10 Percent or More Noncredit FTES</t>
  </si>
  <si>
    <t>A.1 - District Average Cost</t>
  </si>
  <si>
    <t>A.2 - District Average Cost with 10 Percent or More Noncredit FTES</t>
  </si>
  <si>
    <t>B.1 - Statewide Average Cost</t>
  </si>
  <si>
    <t>B.2 - Highest Statewide Average Cost</t>
  </si>
  <si>
    <t>Highest Statewide Average Cost</t>
  </si>
  <si>
    <t>2018-19 Expense of Education*</t>
  </si>
  <si>
    <t>2018-19 Total FTES</t>
  </si>
  <si>
    <t>2018-19 Expense Per FTES</t>
  </si>
  <si>
    <t>2020-21 Nonresident Tuition and Capital Outlay Fee Worksheet</t>
  </si>
  <si>
    <t>Capital Outlay expense for 2018-19</t>
  </si>
  <si>
    <t>FTES for 2018-19</t>
  </si>
  <si>
    <t>Adopted 2020-21 Nonresident Tuition Fee</t>
  </si>
  <si>
    <t>50% of Adopted 2020-21 Nonresident Tuition Fee</t>
  </si>
  <si>
    <t>Maximum 2020-21 Nonresident Capital Outlay Fee (lesser of D or F)</t>
  </si>
  <si>
    <t>2020-21 Nonresident Tuition and Capital Outlay Fee</t>
  </si>
  <si>
    <t>2020-21</t>
  </si>
  <si>
    <t>Source: 2018-19 CCFS-311 Annual Budget and Financial Report as of December 5, 2019 and CCFS-320 Attendance Report as of November 1, 2019.</t>
  </si>
  <si>
    <t>The Chancellor's Office uses data from the Missourri Economic Research and Information Center (MERIC), which is the only such agency to prepare a state composite cost-of-living index.  The 12 states closest in cost of living to California as of the 3rd Quarter 2019 are shown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</si>
</sst>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10409]#,##0.00;\(#,##0.00\)"/>
    <numFmt numFmtId="167" formatCode="0.0%"/>
    <numFmt numFmtId="168" formatCode="_(* #,##0.0000_);_(* \(#,##0.0000\);_(* &quot;-&quot;??_);_(@_)"/>
  </numFmts>
  <fonts count="19">
    <font>
      <sz val="11"/>
      <color theme="1"/>
      <name val="Source Sans Pro"/>
      <family val="2"/>
    </font>
    <font>
      <sz val="11"/>
      <color theme="1"/>
      <name val="Source Sans Pro"/>
      <family val="2"/>
    </font>
    <font>
      <b/>
      <sz val="11"/>
      <color theme="1"/>
      <name val="Source Sans Pro"/>
      <family val="2"/>
    </font>
    <font>
      <b/>
      <sz val="12"/>
      <color theme="1"/>
      <name val="Calibri"/>
      <family val="2"/>
      <scheme val="minor"/>
    </font>
    <font>
      <sz val="12"/>
      <color theme="1"/>
      <name val="Calibri"/>
      <family val="2"/>
      <scheme val="minor"/>
    </font>
    <font>
      <sz val="8"/>
      <color rgb="FF000000"/>
      <name val="Arial"/>
      <family val="2"/>
    </font>
    <font>
      <b/>
      <sz val="10"/>
      <color theme="1"/>
      <name val="Source Sans Pro"/>
      <family val="2"/>
    </font>
    <font>
      <sz val="11"/>
      <name val="Source Sans Pro"/>
      <family val="2"/>
    </font>
    <font>
      <sz val="10"/>
      <color theme="1"/>
      <name val="Source Sans Pro"/>
      <family val="2"/>
    </font>
    <font>
      <b/>
      <sz val="11"/>
      <name val="Source Sans Pro"/>
      <family val="2"/>
    </font>
    <font>
      <b/>
      <sz val="14"/>
      <color theme="0"/>
      <name val="Crimson"/>
      <family val="1"/>
    </font>
    <font>
      <u/>
      <sz val="11"/>
      <color theme="10"/>
      <name val="Source Sans Pro"/>
      <family val="2"/>
    </font>
    <font>
      <sz val="10"/>
      <name val="Source Sans Pro"/>
      <family val="2"/>
    </font>
    <font>
      <sz val="11"/>
      <color theme="0"/>
      <name val="Source Sans Pro"/>
      <family val="2"/>
    </font>
    <font>
      <sz val="12"/>
      <color theme="1"/>
      <name val="Source Sans Pro"/>
      <family val="2"/>
    </font>
    <font>
      <b/>
      <sz val="10"/>
      <name val="Source Sans Pro"/>
      <family val="2"/>
    </font>
    <font>
      <b/>
      <u/>
      <sz val="10"/>
      <name val="Source Sans Pro"/>
      <family val="2"/>
    </font>
    <font>
      <sz val="8"/>
      <color theme="1"/>
      <name val="Arial"/>
      <family val="2"/>
    </font>
    <font>
      <sz val="11"/>
      <color rgb="FF000000"/>
      <name val="Calibri"/>
      <family val="2"/>
      <scheme val="minor"/>
    </font>
  </fonts>
  <fills count="7">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8" fillId="0" borderId="0"/>
  </cellStyleXfs>
  <cellXfs count="126">
    <xf numFmtId="0" fontId="0" fillId="0" borderId="0" xfId="0"/>
    <xf numFmtId="0" fontId="7" fillId="0" borderId="0" xfId="0" applyFont="1" applyProtection="1">
      <protection locked="0"/>
    </xf>
    <xf numFmtId="0" fontId="9" fillId="0" borderId="0" xfId="0" applyFont="1" applyProtection="1">
      <protection locked="0"/>
    </xf>
    <xf numFmtId="0" fontId="8" fillId="2" borderId="0" xfId="0" applyFont="1" applyFill="1" applyBorder="1" applyProtection="1">
      <protection locked="0"/>
    </xf>
    <xf numFmtId="164" fontId="8" fillId="2" borderId="8" xfId="2" applyNumberFormat="1" applyFont="1" applyFill="1" applyBorder="1" applyProtection="1">
      <protection locked="0"/>
    </xf>
    <xf numFmtId="0" fontId="8" fillId="2" borderId="8" xfId="0" applyFont="1" applyFill="1" applyBorder="1" applyAlignment="1" applyProtection="1">
      <alignment horizontal="left"/>
      <protection locked="0"/>
    </xf>
    <xf numFmtId="164" fontId="8" fillId="2" borderId="10" xfId="2" applyNumberFormat="1" applyFont="1" applyFill="1" applyBorder="1" applyProtection="1">
      <protection locked="0"/>
    </xf>
    <xf numFmtId="0" fontId="0" fillId="3" borderId="0" xfId="0" applyFill="1" applyBorder="1" applyProtection="1">
      <protection locked="0"/>
    </xf>
    <xf numFmtId="0" fontId="2" fillId="2" borderId="1" xfId="0" applyFont="1" applyFill="1" applyBorder="1" applyAlignment="1" applyProtection="1">
      <alignment horizontal="center"/>
      <protection locked="0"/>
    </xf>
    <xf numFmtId="168" fontId="8" fillId="0" borderId="8" xfId="1" applyNumberFormat="1" applyFont="1" applyBorder="1" applyProtection="1"/>
    <xf numFmtId="0" fontId="13" fillId="0" borderId="0" xfId="0" applyFont="1" applyProtection="1"/>
    <xf numFmtId="0" fontId="0" fillId="0" borderId="0" xfId="0" applyAlignment="1" applyProtection="1">
      <alignment horizontal="left"/>
    </xf>
    <xf numFmtId="0" fontId="0" fillId="0" borderId="0" xfId="0" applyProtection="1"/>
    <xf numFmtId="0" fontId="7" fillId="0" borderId="0" xfId="0" applyFont="1" applyProtection="1"/>
    <xf numFmtId="0" fontId="2" fillId="0" borderId="4" xfId="0" applyFont="1" applyBorder="1" applyAlignment="1" applyProtection="1"/>
    <xf numFmtId="0" fontId="2" fillId="0" borderId="5" xfId="0" applyFont="1" applyBorder="1" applyAlignment="1" applyProtection="1"/>
    <xf numFmtId="0" fontId="2" fillId="0" borderId="6" xfId="0" applyFont="1" applyBorder="1" applyAlignment="1" applyProtection="1"/>
    <xf numFmtId="0" fontId="8" fillId="0" borderId="0" xfId="0" applyFont="1" applyProtection="1"/>
    <xf numFmtId="0" fontId="6" fillId="0" borderId="7" xfId="0" applyFont="1" applyBorder="1" applyAlignment="1" applyProtection="1">
      <alignment horizontal="left"/>
    </xf>
    <xf numFmtId="0" fontId="8" fillId="0" borderId="0" xfId="0" applyFont="1" applyBorder="1" applyProtection="1"/>
    <xf numFmtId="0" fontId="8" fillId="0" borderId="8" xfId="0" applyFont="1" applyBorder="1" applyProtection="1"/>
    <xf numFmtId="0" fontId="12" fillId="0" borderId="0" xfId="0" applyFont="1" applyProtection="1"/>
    <xf numFmtId="0" fontId="8" fillId="0" borderId="0" xfId="0" applyFont="1" applyBorder="1" applyAlignment="1" applyProtection="1">
      <alignment horizontal="left"/>
    </xf>
    <xf numFmtId="0" fontId="2" fillId="0" borderId="7" xfId="0" applyFont="1" applyBorder="1" applyAlignment="1" applyProtection="1">
      <alignment horizontal="left"/>
    </xf>
    <xf numFmtId="0" fontId="0" fillId="0" borderId="0" xfId="0" applyBorder="1" applyProtection="1"/>
    <xf numFmtId="0" fontId="2" fillId="0" borderId="0" xfId="0" applyFont="1" applyBorder="1" applyAlignment="1" applyProtection="1">
      <alignment horizontal="left"/>
    </xf>
    <xf numFmtId="0" fontId="0" fillId="0" borderId="8" xfId="0" applyBorder="1" applyProtection="1"/>
    <xf numFmtId="0" fontId="0" fillId="4" borderId="0" xfId="0" applyFill="1" applyBorder="1" applyProtection="1"/>
    <xf numFmtId="0" fontId="2" fillId="0" borderId="7" xfId="0" applyFont="1" applyBorder="1" applyAlignment="1" applyProtection="1">
      <alignment horizontal="center"/>
    </xf>
    <xf numFmtId="0" fontId="2" fillId="0" borderId="0" xfId="0" applyFont="1" applyBorder="1" applyProtection="1"/>
    <xf numFmtId="0" fontId="8" fillId="0" borderId="7" xfId="0" applyFont="1" applyBorder="1" applyAlignment="1" applyProtection="1">
      <alignment horizontal="center"/>
    </xf>
    <xf numFmtId="164" fontId="8" fillId="0" borderId="8" xfId="2" applyNumberFormat="1" applyFont="1" applyBorder="1" applyProtection="1"/>
    <xf numFmtId="165" fontId="8" fillId="0" borderId="8" xfId="1" applyNumberFormat="1" applyFont="1" applyBorder="1" applyProtection="1"/>
    <xf numFmtId="0" fontId="8" fillId="0" borderId="10" xfId="0" applyFont="1" applyBorder="1" applyProtection="1"/>
    <xf numFmtId="0" fontId="0" fillId="0" borderId="7" xfId="0" applyBorder="1" applyAlignment="1" applyProtection="1">
      <alignment horizontal="center"/>
    </xf>
    <xf numFmtId="0" fontId="2" fillId="0" borderId="8" xfId="0" applyFont="1" applyBorder="1" applyProtection="1"/>
    <xf numFmtId="167" fontId="8" fillId="0" borderId="8" xfId="3" applyNumberFormat="1" applyFont="1" applyBorder="1" applyProtection="1"/>
    <xf numFmtId="0" fontId="2" fillId="0" borderId="0" xfId="0" applyFont="1" applyBorder="1" applyAlignment="1" applyProtection="1"/>
    <xf numFmtId="0" fontId="0" fillId="0" borderId="0" xfId="0" applyBorder="1" applyAlignment="1" applyProtection="1"/>
    <xf numFmtId="164" fontId="0" fillId="0" borderId="8" xfId="2" applyNumberFormat="1" applyFont="1" applyBorder="1" applyProtection="1"/>
    <xf numFmtId="164" fontId="8" fillId="0" borderId="10" xfId="2" applyNumberFormat="1" applyFont="1" applyBorder="1" applyProtection="1"/>
    <xf numFmtId="0" fontId="8" fillId="0" borderId="8" xfId="0" applyFont="1" applyBorder="1" applyAlignment="1" applyProtection="1">
      <alignment horizontal="right"/>
    </xf>
    <xf numFmtId="164" fontId="2" fillId="0" borderId="7" xfId="2" applyNumberFormat="1" applyFont="1" applyBorder="1" applyAlignment="1" applyProtection="1">
      <alignment horizontal="center"/>
    </xf>
    <xf numFmtId="165" fontId="0" fillId="0" borderId="8" xfId="1" applyNumberFormat="1" applyFont="1" applyBorder="1" applyProtection="1"/>
    <xf numFmtId="0" fontId="6" fillId="0" borderId="0" xfId="0" applyFont="1" applyBorder="1" applyProtection="1"/>
    <xf numFmtId="0" fontId="0" fillId="0" borderId="7" xfId="0" applyBorder="1" applyAlignment="1" applyProtection="1">
      <alignment horizontal="left"/>
    </xf>
    <xf numFmtId="0" fontId="2" fillId="0" borderId="7" xfId="0" applyFont="1" applyBorder="1" applyProtection="1"/>
    <xf numFmtId="0" fontId="8" fillId="0" borderId="7" xfId="0" applyFont="1" applyBorder="1" applyAlignment="1" applyProtection="1">
      <alignment horizontal="left"/>
    </xf>
    <xf numFmtId="44" fontId="8" fillId="0" borderId="8" xfId="2" applyNumberFormat="1" applyFont="1" applyBorder="1" applyProtection="1"/>
    <xf numFmtId="164" fontId="8" fillId="4" borderId="8" xfId="2" applyNumberFormat="1" applyFont="1" applyFill="1" applyBorder="1" applyProtection="1"/>
    <xf numFmtId="164" fontId="8" fillId="0" borderId="8" xfId="0" applyNumberFormat="1" applyFont="1" applyBorder="1" applyProtection="1"/>
    <xf numFmtId="0" fontId="8" fillId="0" borderId="12" xfId="0" applyFont="1" applyBorder="1" applyAlignment="1" applyProtection="1">
      <alignment horizontal="left"/>
    </xf>
    <xf numFmtId="0" fontId="8" fillId="0" borderId="13" xfId="0" applyFont="1" applyBorder="1" applyProtection="1"/>
    <xf numFmtId="0" fontId="8" fillId="0" borderId="13" xfId="0" applyFont="1" applyBorder="1" applyAlignment="1" applyProtection="1">
      <alignment wrapText="1"/>
    </xf>
    <xf numFmtId="164" fontId="8" fillId="0" borderId="16" xfId="2" applyNumberFormat="1" applyFont="1" applyBorder="1" applyProtection="1"/>
    <xf numFmtId="0" fontId="0" fillId="0" borderId="4" xfId="0" applyBorder="1" applyProtection="1"/>
    <xf numFmtId="0" fontId="0" fillId="0" borderId="5" xfId="0" applyBorder="1" applyProtection="1"/>
    <xf numFmtId="0" fontId="0" fillId="0" borderId="6" xfId="0" applyBorder="1" applyProtection="1"/>
    <xf numFmtId="0" fontId="2" fillId="0" borderId="0" xfId="0" applyFont="1" applyBorder="1" applyAlignment="1" applyProtection="1">
      <alignment horizontal="right"/>
    </xf>
    <xf numFmtId="0" fontId="0" fillId="0" borderId="7" xfId="0" applyBorder="1" applyProtection="1"/>
    <xf numFmtId="0" fontId="2" fillId="0" borderId="0" xfId="0" applyFont="1" applyBorder="1" applyAlignment="1" applyProtection="1">
      <alignment horizontal="center"/>
    </xf>
    <xf numFmtId="0" fontId="8" fillId="0" borderId="8" xfId="0" applyFont="1" applyBorder="1" applyAlignment="1" applyProtection="1">
      <alignment vertical="center"/>
    </xf>
    <xf numFmtId="0" fontId="0" fillId="0" borderId="12" xfId="0" applyBorder="1" applyAlignment="1" applyProtection="1">
      <alignment horizontal="left"/>
    </xf>
    <xf numFmtId="0" fontId="2" fillId="0" borderId="13" xfId="0" applyFont="1" applyBorder="1" applyAlignment="1" applyProtection="1">
      <alignment horizontal="right"/>
    </xf>
    <xf numFmtId="0" fontId="2" fillId="0" borderId="8" xfId="0" applyFont="1" applyBorder="1" applyAlignment="1" applyProtection="1">
      <alignment horizontal="center"/>
    </xf>
    <xf numFmtId="164" fontId="0" fillId="0" borderId="9" xfId="2" applyNumberFormat="1" applyFont="1" applyBorder="1" applyAlignment="1" applyProtection="1"/>
    <xf numFmtId="164" fontId="3" fillId="0" borderId="0" xfId="2" applyNumberFormat="1" applyFont="1" applyAlignment="1" applyProtection="1">
      <alignment horizontal="center" wrapText="1"/>
    </xf>
    <xf numFmtId="0" fontId="2" fillId="0" borderId="0" xfId="0" applyFont="1" applyAlignment="1" applyProtection="1">
      <alignment horizontal="center"/>
    </xf>
    <xf numFmtId="0" fontId="3" fillId="0" borderId="0" xfId="0" applyFont="1" applyAlignment="1" applyProtection="1">
      <alignment horizontal="center" wrapText="1"/>
    </xf>
    <xf numFmtId="0" fontId="4" fillId="0" borderId="0" xfId="0" applyFont="1" applyBorder="1" applyProtection="1"/>
    <xf numFmtId="166" fontId="5" fillId="0" borderId="0" xfId="0" applyNumberFormat="1" applyFont="1" applyFill="1" applyBorder="1" applyAlignment="1" applyProtection="1">
      <alignment horizontal="right" readingOrder="1"/>
    </xf>
    <xf numFmtId="167" fontId="5" fillId="0" borderId="0" xfId="3" applyNumberFormat="1" applyFont="1" applyFill="1" applyBorder="1" applyAlignment="1" applyProtection="1">
      <alignment horizontal="right" readingOrder="1"/>
    </xf>
    <xf numFmtId="165" fontId="5" fillId="0" borderId="0" xfId="1" applyNumberFormat="1" applyFont="1" applyFill="1" applyBorder="1" applyAlignment="1" applyProtection="1">
      <alignment horizontal="right" readingOrder="1"/>
    </xf>
    <xf numFmtId="164" fontId="4" fillId="0" borderId="0" xfId="2" applyNumberFormat="1" applyFont="1" applyBorder="1" applyProtection="1"/>
    <xf numFmtId="0" fontId="4" fillId="6" borderId="17" xfId="0" applyFont="1" applyFill="1" applyBorder="1" applyProtection="1"/>
    <xf numFmtId="0" fontId="4" fillId="0" borderId="17" xfId="0" applyFont="1" applyBorder="1" applyProtection="1"/>
    <xf numFmtId="0" fontId="14" fillId="0" borderId="0" xfId="0" applyFont="1" applyBorder="1" applyProtection="1"/>
    <xf numFmtId="166" fontId="5" fillId="0" borderId="0" xfId="0" applyNumberFormat="1" applyFont="1" applyFill="1" applyBorder="1" applyAlignment="1" applyProtection="1">
      <alignment readingOrder="1"/>
    </xf>
    <xf numFmtId="167" fontId="5" fillId="0" borderId="0" xfId="3" applyNumberFormat="1" applyFont="1" applyFill="1" applyBorder="1" applyAlignment="1" applyProtection="1">
      <alignment readingOrder="1"/>
    </xf>
    <xf numFmtId="165" fontId="5" fillId="0" borderId="0" xfId="1" applyNumberFormat="1" applyFont="1" applyFill="1" applyBorder="1" applyAlignment="1" applyProtection="1">
      <alignment readingOrder="1"/>
    </xf>
    <xf numFmtId="0" fontId="0" fillId="0" borderId="0" xfId="0" applyAlignment="1" applyProtection="1">
      <alignment horizontal="center"/>
    </xf>
    <xf numFmtId="167" fontId="0" fillId="0" borderId="0" xfId="3" applyNumberFormat="1" applyFont="1" applyAlignment="1" applyProtection="1">
      <alignment horizontal="center"/>
    </xf>
    <xf numFmtId="165" fontId="0" fillId="0" borderId="0" xfId="1" applyNumberFormat="1" applyFont="1" applyAlignment="1" applyProtection="1">
      <alignment horizontal="center"/>
    </xf>
    <xf numFmtId="164" fontId="0" fillId="0" borderId="0" xfId="2" applyNumberFormat="1" applyFont="1" applyProtection="1"/>
    <xf numFmtId="167" fontId="0" fillId="0" borderId="0" xfId="3" applyNumberFormat="1" applyFont="1" applyProtection="1"/>
    <xf numFmtId="165" fontId="0" fillId="0" borderId="0" xfId="1" applyNumberFormat="1" applyFont="1" applyProtection="1"/>
    <xf numFmtId="0" fontId="9" fillId="0" borderId="0" xfId="0" applyFont="1" applyAlignment="1" applyProtection="1">
      <protection locked="0"/>
    </xf>
    <xf numFmtId="0" fontId="0" fillId="0" borderId="0" xfId="0" applyFont="1" applyProtection="1">
      <protection locked="0"/>
    </xf>
    <xf numFmtId="0" fontId="11" fillId="0" borderId="0" xfId="4" applyFont="1" applyProtection="1">
      <protection locked="0"/>
    </xf>
    <xf numFmtId="0" fontId="11" fillId="0" borderId="0" xfId="4" applyProtection="1">
      <protection locked="0"/>
    </xf>
    <xf numFmtId="0" fontId="0" fillId="0" borderId="0" xfId="0" applyFont="1" applyAlignment="1" applyProtection="1">
      <alignment wrapText="1"/>
    </xf>
    <xf numFmtId="0" fontId="2" fillId="0" borderId="0" xfId="0" applyFont="1" applyAlignment="1" applyProtection="1">
      <alignment wrapText="1"/>
    </xf>
    <xf numFmtId="0" fontId="0" fillId="0" borderId="0" xfId="0" applyFont="1" applyAlignment="1" applyProtection="1">
      <alignment horizontal="right"/>
    </xf>
    <xf numFmtId="0" fontId="0" fillId="0" borderId="0" xfId="0" applyFont="1" applyProtection="1"/>
    <xf numFmtId="0" fontId="0" fillId="0" borderId="0" xfId="0" quotePrefix="1" applyFont="1" applyAlignment="1" applyProtection="1">
      <alignment horizontal="right"/>
    </xf>
    <xf numFmtId="0" fontId="2" fillId="0" borderId="0" xfId="0" applyFont="1" applyProtection="1"/>
    <xf numFmtId="0" fontId="2" fillId="0" borderId="0" xfId="0" applyFont="1" applyAlignment="1" applyProtection="1">
      <alignment horizontal="right"/>
    </xf>
    <xf numFmtId="164" fontId="0" fillId="0" borderId="18" xfId="2" applyNumberFormat="1" applyFont="1" applyBorder="1" applyProtection="1"/>
    <xf numFmtId="164" fontId="0" fillId="0" borderId="0" xfId="0" applyNumberFormat="1" applyBorder="1" applyProtection="1"/>
    <xf numFmtId="0" fontId="0" fillId="0" borderId="0" xfId="0" applyBorder="1" applyAlignment="1" applyProtection="1">
      <alignment horizontal="left" vertical="top" wrapText="1"/>
    </xf>
    <xf numFmtId="164" fontId="0" fillId="2" borderId="9" xfId="2" applyNumberFormat="1" applyFont="1" applyFill="1" applyBorder="1" applyProtection="1">
      <protection locked="0"/>
    </xf>
    <xf numFmtId="0" fontId="15" fillId="0" borderId="0" xfId="0" applyFont="1" applyProtection="1"/>
    <xf numFmtId="0" fontId="2" fillId="0" borderId="4" xfId="0" applyFont="1" applyBorder="1" applyProtection="1"/>
    <xf numFmtId="0" fontId="0" fillId="0" borderId="13" xfId="0" applyBorder="1" applyProtection="1"/>
    <xf numFmtId="0" fontId="2" fillId="0" borderId="13" xfId="0" applyFont="1" applyBorder="1" applyProtection="1"/>
    <xf numFmtId="0" fontId="0" fillId="0" borderId="16" xfId="0" applyBorder="1" applyProtection="1"/>
    <xf numFmtId="3" fontId="17" fillId="0" borderId="0" xfId="0" applyNumberFormat="1" applyFont="1" applyBorder="1" applyProtection="1"/>
    <xf numFmtId="0" fontId="0" fillId="2" borderId="3"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2" fillId="0" borderId="7" xfId="0" applyFont="1" applyBorder="1" applyAlignment="1" applyProtection="1">
      <alignment horizontal="center" wrapText="1"/>
    </xf>
    <xf numFmtId="0" fontId="2" fillId="0" borderId="0" xfId="0" applyFont="1" applyBorder="1" applyAlignment="1" applyProtection="1">
      <alignment horizontal="center" wrapText="1"/>
    </xf>
    <xf numFmtId="0" fontId="0" fillId="2" borderId="2"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10" fillId="5" borderId="4" xfId="0" applyFont="1" applyFill="1" applyBorder="1" applyAlignment="1" applyProtection="1">
      <alignment horizontal="center"/>
    </xf>
    <xf numFmtId="0" fontId="10" fillId="5" borderId="5" xfId="0" applyFont="1" applyFill="1" applyBorder="1" applyAlignment="1" applyProtection="1">
      <alignment horizontal="center"/>
    </xf>
    <xf numFmtId="0" fontId="10" fillId="5" borderId="6" xfId="0" applyFont="1" applyFill="1" applyBorder="1" applyAlignment="1" applyProtection="1">
      <alignment horizontal="center"/>
    </xf>
    <xf numFmtId="0" fontId="10" fillId="5" borderId="7" xfId="0" applyFont="1" applyFill="1" applyBorder="1" applyAlignment="1" applyProtection="1">
      <alignment horizontal="center"/>
    </xf>
    <xf numFmtId="0" fontId="10" fillId="5" borderId="0" xfId="0" applyFont="1" applyFill="1" applyBorder="1" applyAlignment="1" applyProtection="1">
      <alignment horizontal="center"/>
    </xf>
    <xf numFmtId="0" fontId="10" fillId="5" borderId="8" xfId="0" applyFont="1" applyFill="1" applyBorder="1" applyAlignment="1" applyProtection="1">
      <alignment horizontal="center"/>
    </xf>
    <xf numFmtId="0" fontId="10" fillId="5" borderId="12" xfId="0" applyFont="1" applyFill="1" applyBorder="1" applyAlignment="1" applyProtection="1">
      <alignment horizontal="center"/>
    </xf>
    <xf numFmtId="0" fontId="10" fillId="5" borderId="13" xfId="0" applyFont="1" applyFill="1" applyBorder="1" applyAlignment="1" applyProtection="1">
      <alignment horizontal="center"/>
    </xf>
    <xf numFmtId="0" fontId="10" fillId="5" borderId="16" xfId="0" applyFont="1" applyFill="1" applyBorder="1" applyAlignment="1" applyProtection="1">
      <alignment horizontal="center"/>
    </xf>
    <xf numFmtId="0" fontId="0"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cellXfs>
  <cellStyles count="6">
    <cellStyle name="Comma" xfId="1" builtinId="3"/>
    <cellStyle name="Currency" xfId="2" builtinId="4"/>
    <cellStyle name="Hyperlink" xfId="4" builtinId="8"/>
    <cellStyle name="Normal" xfId="0" builtinId="0"/>
    <cellStyle name="Normal 2" xfId="5"/>
    <cellStyle name="Percent" xfId="3" builtinId="5"/>
  </cellStyles>
  <dxfs count="14">
    <dxf>
      <font>
        <b val="0"/>
        <i val="0"/>
        <strike val="0"/>
        <condense val="0"/>
        <extend val="0"/>
        <outline val="0"/>
        <shadow val="0"/>
        <u val="none"/>
        <vertAlign val="baseline"/>
        <sz val="12"/>
        <color theme="1"/>
        <name val="Calibri"/>
        <scheme val="minor"/>
      </font>
      <protection locked="1" hidden="0"/>
    </dxf>
    <dxf>
      <font>
        <b val="0"/>
        <i val="0"/>
        <strike val="0"/>
        <condense val="0"/>
        <extend val="0"/>
        <outline val="0"/>
        <shadow val="0"/>
        <u val="none"/>
        <vertAlign val="baseline"/>
        <sz val="12"/>
        <color theme="1"/>
        <name val="Calibri"/>
        <scheme val="minor"/>
      </font>
      <numFmt numFmtId="164" formatCode="_(&quot;$&quot;* #,##0_);_(&quot;$&quot;* \(#,##0\);_(&quot;$&quot;* &quot;-&quot;??_);_(@_)"/>
      <protection locked="1" hidden="0"/>
    </dxf>
    <dxf>
      <font>
        <b val="0"/>
        <i val="0"/>
        <strike val="0"/>
        <condense val="0"/>
        <extend val="0"/>
        <outline val="0"/>
        <shadow val="0"/>
        <u val="none"/>
        <vertAlign val="baseline"/>
        <sz val="8"/>
        <color rgb="FF000000"/>
        <name val="Arial"/>
        <scheme val="none"/>
      </font>
      <numFmt numFmtId="166" formatCode="[$-10409]#,##0.00;\(#,##0.00\)"/>
      <fill>
        <patternFill patternType="none">
          <fgColor indexed="64"/>
          <bgColor indexed="65"/>
        </patternFill>
      </fill>
      <alignment horizontal="general" vertical="bottom" textRotation="0" wrapText="0" indent="0" justifyLastLine="0" shrinkToFit="0" readingOrder="1"/>
      <protection locked="1" hidden="0"/>
    </dxf>
    <dxf>
      <font>
        <b val="0"/>
        <i val="0"/>
        <strike val="0"/>
        <condense val="0"/>
        <extend val="0"/>
        <outline val="0"/>
        <shadow val="0"/>
        <u val="none"/>
        <vertAlign val="baseline"/>
        <sz val="8"/>
        <color rgb="FF000000"/>
        <name val="Arial"/>
        <scheme val="none"/>
      </font>
      <numFmt numFmtId="165" formatCode="_(* #,##0_);_(* \(#,##0\);_(* &quot;-&quot;??_);_(@_)"/>
      <fill>
        <patternFill patternType="none">
          <fgColor indexed="64"/>
          <bgColor indexed="65"/>
        </patternFill>
      </fill>
      <alignment horizontal="general" vertical="bottom" textRotation="0" wrapText="0" indent="0" justifyLastLine="0" shrinkToFit="0" readingOrder="1"/>
      <protection locked="1" hidden="0"/>
    </dxf>
    <dxf>
      <font>
        <b val="0"/>
        <i val="0"/>
        <strike val="0"/>
        <condense val="0"/>
        <extend val="0"/>
        <outline val="0"/>
        <shadow val="0"/>
        <u val="none"/>
        <vertAlign val="baseline"/>
        <sz val="8"/>
        <color rgb="FF000000"/>
        <name val="Arial"/>
        <scheme val="none"/>
      </font>
      <numFmt numFmtId="167" formatCode="0.0%"/>
      <fill>
        <patternFill patternType="none">
          <fgColor indexed="64"/>
          <bgColor indexed="65"/>
        </patternFill>
      </fill>
      <alignment horizontal="general" vertical="bottom" textRotation="0" wrapText="0" indent="0" justifyLastLine="0" shrinkToFit="0" readingOrder="1"/>
      <protection locked="1" hidden="0"/>
    </dxf>
    <dxf>
      <font>
        <b val="0"/>
        <i val="0"/>
        <strike val="0"/>
        <condense val="0"/>
        <extend val="0"/>
        <outline val="0"/>
        <shadow val="0"/>
        <u val="none"/>
        <vertAlign val="baseline"/>
        <sz val="8"/>
        <color rgb="FF000000"/>
        <name val="Arial"/>
        <scheme val="none"/>
      </font>
      <numFmt numFmtId="166" formatCode="[$-10409]#,##0.00;\(#,##0.00\)"/>
      <fill>
        <patternFill patternType="none">
          <fgColor indexed="64"/>
          <bgColor indexed="65"/>
        </patternFill>
      </fill>
      <alignment horizontal="general" vertical="bottom" textRotation="0" wrapText="0" indent="0" justifyLastLine="0" shrinkToFit="0" readingOrder="1"/>
      <protection locked="1" hidden="0"/>
    </dxf>
    <dxf>
      <font>
        <b val="0"/>
        <i val="0"/>
        <strike val="0"/>
        <condense val="0"/>
        <extend val="0"/>
        <outline val="0"/>
        <shadow val="0"/>
        <u val="none"/>
        <vertAlign val="baseline"/>
        <sz val="8"/>
        <color rgb="FF000000"/>
        <name val="Arial"/>
        <scheme val="minor"/>
      </font>
      <numFmt numFmtId="166" formatCode="[$-10409]#,##0.00;\(#,##0.00\)"/>
      <fill>
        <patternFill patternType="none">
          <fgColor indexed="64"/>
          <bgColor indexed="65"/>
        </patternFill>
      </fill>
      <alignment horizontal="general" vertical="bottom" textRotation="0" wrapText="0" indent="0" justifyLastLine="0" shrinkToFit="0" readingOrder="1"/>
      <protection locked="1" hidden="0"/>
    </dxf>
    <dxf>
      <font>
        <b val="0"/>
        <i val="0"/>
        <strike val="0"/>
        <condense val="0"/>
        <extend val="0"/>
        <outline val="0"/>
        <shadow val="0"/>
        <u val="none"/>
        <vertAlign val="baseline"/>
        <sz val="8"/>
        <color rgb="FF000000"/>
        <name val="Arial"/>
        <scheme val="minor"/>
      </font>
      <numFmt numFmtId="166" formatCode="[$-10409]#,##0.00;\(#,##0.00\)"/>
      <fill>
        <patternFill patternType="none">
          <fgColor indexed="64"/>
          <bgColor indexed="65"/>
        </patternFill>
      </fill>
      <alignment horizontal="general" vertical="bottom" textRotation="0" wrapText="0" indent="0" justifyLastLine="0" shrinkToFit="0" readingOrder="1"/>
      <protection locked="1" hidden="0"/>
    </dxf>
    <dxf>
      <font>
        <b val="0"/>
        <i val="0"/>
        <strike val="0"/>
        <condense val="0"/>
        <extend val="0"/>
        <outline val="0"/>
        <shadow val="0"/>
        <u val="none"/>
        <vertAlign val="baseline"/>
        <sz val="8"/>
        <color rgb="FF000000"/>
        <name val="Arial"/>
        <scheme val="minor"/>
      </font>
      <numFmt numFmtId="166" formatCode="[$-10409]#,##0.00;\(#,##0.00\)"/>
      <fill>
        <patternFill patternType="none">
          <fgColor indexed="64"/>
          <bgColor indexed="65"/>
        </patternFill>
      </fill>
      <alignment horizontal="general" vertical="bottom" textRotation="0" wrapText="0" indent="0" justifyLastLine="0" shrinkToFit="0" readingOrder="1"/>
      <protection locked="1" hidden="0"/>
    </dxf>
    <dxf>
      <font>
        <b val="0"/>
        <i val="0"/>
        <strike val="0"/>
        <condense val="0"/>
        <extend val="0"/>
        <outline val="0"/>
        <shadow val="0"/>
        <u val="none"/>
        <vertAlign val="baseline"/>
        <sz val="8"/>
        <color rgb="FF000000"/>
        <name val="Arial"/>
        <scheme val="minor"/>
      </font>
      <numFmt numFmtId="166" formatCode="[$-10409]#,##0.00;\(#,##0.00\)"/>
      <fill>
        <patternFill patternType="none">
          <fgColor indexed="64"/>
          <bgColor indexed="65"/>
        </patternFill>
      </fill>
      <alignment horizontal="general" vertical="bottom" textRotation="0" wrapText="0" indent="0" justifyLastLine="0" shrinkToFit="0" readingOrder="1"/>
      <protection locked="1" hidden="0"/>
    </dxf>
    <dxf>
      <font>
        <b val="0"/>
        <i val="0"/>
        <strike val="0"/>
        <condense val="0"/>
        <extend val="0"/>
        <outline val="0"/>
        <shadow val="0"/>
        <u val="none"/>
        <vertAlign val="baseline"/>
        <sz val="8"/>
        <color theme="1"/>
        <name val="Arial"/>
        <scheme val="none"/>
      </font>
      <numFmt numFmtId="3" formatCode="#,##0"/>
      <protection locked="1" hidden="0"/>
    </dxf>
    <dxf>
      <font>
        <b val="0"/>
        <i val="0"/>
        <strike val="0"/>
        <condense val="0"/>
        <extend val="0"/>
        <outline val="0"/>
        <shadow val="0"/>
        <u val="none"/>
        <vertAlign val="baseline"/>
        <sz val="12"/>
        <color theme="1"/>
        <name val="Calibri"/>
        <scheme val="minor"/>
      </font>
      <protection locked="1" hidden="0"/>
    </dxf>
    <dxf>
      <font>
        <b val="0"/>
        <i val="0"/>
        <strike val="0"/>
        <condense val="0"/>
        <extend val="0"/>
        <outline val="0"/>
        <shadow val="0"/>
        <u val="none"/>
        <vertAlign val="baseline"/>
        <sz val="12"/>
        <color theme="1"/>
        <name val="Calibri"/>
        <scheme val="minor"/>
      </font>
      <protection locked="1" hidden="0"/>
    </dxf>
    <dxf>
      <font>
        <b/>
        <i val="0"/>
        <strike val="0"/>
        <condense val="0"/>
        <extend val="0"/>
        <outline val="0"/>
        <shadow val="0"/>
        <u val="none"/>
        <vertAlign val="baseline"/>
        <sz val="12"/>
        <color theme="1"/>
        <name val="Calibri"/>
        <scheme val="minor"/>
      </font>
      <alignment horizontal="center" vertical="bottom" textRotation="0" wrapText="1" indent="0" justifyLastLine="0" shrinkToFit="0" readingOrder="0"/>
      <protection locked="1" hidden="0"/>
    </dxf>
  </dxfs>
  <tableStyles count="0" defaultTableStyle="TableStyleMedium2" defaultPivotStyle="PivotStyleLight16"/>
  <colors>
    <mruColors>
      <color rgb="FFB2B3B2"/>
      <color rgb="FFF6DC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B2:M74" totalsRowShown="0" headerRowDxfId="13" dataDxfId="12">
  <autoFilter ref="B2:M74"/>
  <sortState ref="B3:M75">
    <sortCondition ref="B3:B75"/>
  </sortState>
  <tableColumns count="12">
    <tableColumn id="1" name="District" dataDxfId="11"/>
    <tableColumn id="3" name="2018-19 Expense of Education*" dataDxfId="10"/>
    <tableColumn id="9" name="Resident Credit FTES" dataDxfId="9"/>
    <tableColumn id="8" name="Resident Noncredit FTES" dataDxfId="8"/>
    <tableColumn id="7" name="NONResident Credit FTES2" dataDxfId="7"/>
    <tableColumn id="6" name="NONResident Noncredit FTES3" dataDxfId="6"/>
    <tableColumn id="12" name="Total Noncredit" dataDxfId="5">
      <calculatedColumnFormula>Table1[[#This Row],[NONResident Noncredit FTES3]]+Table1[[#This Row],[Resident Noncredit FTES]]</calculatedColumnFormula>
    </tableColumn>
    <tableColumn id="11" name="Noncredit Percent of Total" dataDxfId="4" dataCellStyle="Percent">
      <calculatedColumnFormula>Table1[[#This Row],[Total Noncredit]]/Table1[[#This Row],[2018-19 Total FTES]]</calculatedColumnFormula>
    </tableColumn>
    <tableColumn id="13" name="Total Credit FTES" dataDxfId="3" dataCellStyle="Comma">
      <calculatedColumnFormula>Table1[[#This Row],[Resident Credit FTES]]+Table1[[#This Row],[NONResident Credit FTES2]]</calculatedColumnFormula>
    </tableColumn>
    <tableColumn id="10" name="2018-19 Total FTES" dataDxfId="2">
      <calculatedColumnFormula>SUM(Table1[[#This Row],[Resident Credit FTES]:[NONResident Noncredit FTES3]])</calculatedColumnFormula>
    </tableColumn>
    <tableColumn id="5" name="2018-19 Expense Per FTES" dataDxfId="1" dataCellStyle="Currency">
      <calculatedColumnFormula>C3/#REF!</calculatedColumnFormula>
    </tableColumn>
    <tableColumn id="4" name="Academic Term"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issourieconomy.org/indicators/cost_of_living/" TargetMode="External"/><Relationship Id="rId1" Type="http://schemas.openxmlformats.org/officeDocument/2006/relationships/hyperlink" Target="http://www.dof.ca.gov/Forecasting/Economics/Eco_Forecasts_Us_C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4"/>
  <sheetViews>
    <sheetView showGridLines="0" tabSelected="1" topLeftCell="A15" zoomScale="130" zoomScaleNormal="130" zoomScaleSheetLayoutView="130" workbookViewId="0">
      <selection activeCell="D3" sqref="D3"/>
    </sheetView>
  </sheetViews>
  <sheetFormatPr defaultColWidth="8.875" defaultRowHeight="13.5"/>
  <cols>
    <col min="1" max="1" width="8.875" style="12"/>
    <col min="2" max="2" width="10.6875" style="11" customWidth="1"/>
    <col min="3" max="3" width="3.4375" style="12" customWidth="1"/>
    <col min="4" max="4" width="75.4375" style="12" customWidth="1"/>
    <col min="5" max="5" width="18.3125" style="12" customWidth="1"/>
    <col min="6" max="6" width="3" style="13" customWidth="1"/>
    <col min="7" max="7" width="8.4375" style="21" customWidth="1"/>
    <col min="8" max="12" width="8.875" style="13"/>
    <col min="13" max="16384" width="8.875" style="12"/>
  </cols>
  <sheetData>
    <row r="1" spans="1:12" ht="14.25" thickBot="1">
      <c r="A1" s="10" t="s">
        <v>93</v>
      </c>
      <c r="G1" s="101" t="s">
        <v>59</v>
      </c>
    </row>
    <row r="2" spans="1:12" ht="13.9">
      <c r="B2" s="14" t="s">
        <v>276</v>
      </c>
      <c r="C2" s="15"/>
      <c r="D2" s="15"/>
      <c r="E2" s="16"/>
    </row>
    <row r="3" spans="1:12" s="17" customFormat="1" ht="13.15">
      <c r="B3" s="18" t="s">
        <v>42</v>
      </c>
      <c r="C3" s="19"/>
      <c r="D3" s="3" t="s">
        <v>63</v>
      </c>
      <c r="E3" s="20"/>
      <c r="F3" s="21"/>
      <c r="G3" s="21" t="s">
        <v>255</v>
      </c>
      <c r="H3" s="21"/>
      <c r="I3" s="21"/>
      <c r="J3" s="21"/>
      <c r="K3" s="21"/>
      <c r="L3" s="21"/>
    </row>
    <row r="4" spans="1:12" s="17" customFormat="1" ht="13.15">
      <c r="B4" s="18" t="s">
        <v>56</v>
      </c>
      <c r="C4" s="19"/>
      <c r="D4" s="22" t="str">
        <f>VLOOKUP(D3,Table1[],12,FALSE)</f>
        <v>Semester</v>
      </c>
      <c r="E4" s="20"/>
      <c r="F4" s="21"/>
      <c r="G4" s="21"/>
    </row>
    <row r="5" spans="1:12" ht="6" customHeight="1">
      <c r="B5" s="23"/>
      <c r="C5" s="24"/>
      <c r="D5" s="25"/>
      <c r="E5" s="26"/>
    </row>
    <row r="6" spans="1:12" ht="13.9">
      <c r="B6" s="23" t="s">
        <v>58</v>
      </c>
      <c r="C6" s="24"/>
      <c r="D6" s="27"/>
      <c r="E6" s="26"/>
    </row>
    <row r="7" spans="1:12" ht="13.9">
      <c r="B7" s="28" t="s">
        <v>45</v>
      </c>
      <c r="C7" s="29" t="s">
        <v>4</v>
      </c>
      <c r="D7" s="24"/>
      <c r="E7" s="26"/>
    </row>
    <row r="8" spans="1:12" s="17" customFormat="1">
      <c r="B8" s="30"/>
      <c r="C8" s="19" t="s">
        <v>7</v>
      </c>
      <c r="D8" s="19" t="s">
        <v>36</v>
      </c>
      <c r="E8" s="31">
        <f>VLOOKUP(D3,Table1[],2,FALSE)</f>
        <v>69259609</v>
      </c>
      <c r="F8" s="21"/>
      <c r="H8" s="13"/>
    </row>
    <row r="9" spans="1:12" s="17" customFormat="1" ht="12.75">
      <c r="B9" s="30"/>
      <c r="C9" s="19" t="s">
        <v>8</v>
      </c>
      <c r="D9" s="19" t="s">
        <v>40</v>
      </c>
      <c r="E9" s="32">
        <f>VLOOKUP(D3,Table1[],10,FALSE)</f>
        <v>9887.23</v>
      </c>
      <c r="F9" s="21"/>
      <c r="G9" s="21"/>
    </row>
    <row r="10" spans="1:12" s="17" customFormat="1" ht="12.75">
      <c r="B10" s="30"/>
      <c r="C10" s="19" t="s">
        <v>9</v>
      </c>
      <c r="D10" s="19" t="s">
        <v>23</v>
      </c>
      <c r="E10" s="31">
        <f>E8/E9</f>
        <v>7004.9557864032704</v>
      </c>
      <c r="F10" s="21"/>
      <c r="G10" s="21"/>
    </row>
    <row r="11" spans="1:12" s="17" customFormat="1" ht="12.75">
      <c r="B11" s="30"/>
      <c r="C11" s="19" t="s">
        <v>10</v>
      </c>
      <c r="D11" s="19" t="s">
        <v>222</v>
      </c>
      <c r="E11" s="9">
        <f>ROUND(('CPI &amp; 12 State Average Info'!$E$16),3)</f>
        <v>1.042</v>
      </c>
      <c r="F11" s="21"/>
      <c r="G11" s="21"/>
    </row>
    <row r="12" spans="1:12" s="17" customFormat="1" ht="12.75">
      <c r="B12" s="30"/>
      <c r="C12" s="19" t="s">
        <v>11</v>
      </c>
      <c r="D12" s="19" t="s">
        <v>14</v>
      </c>
      <c r="E12" s="32">
        <f t="shared" ref="E12" si="0">E10*E11</f>
        <v>7299.1639294322076</v>
      </c>
      <c r="F12" s="21"/>
      <c r="G12" s="21"/>
    </row>
    <row r="13" spans="1:12" s="17" customFormat="1" ht="12.75">
      <c r="B13" s="30"/>
      <c r="C13" s="19" t="s">
        <v>12</v>
      </c>
      <c r="D13" s="19" t="str">
        <f>IF($D$4="Semester","Nonresident Tuition Fee per Semester Unit (E/30)","Nonresident Tuition Fee per Quarter Unit (E/45)")</f>
        <v>Nonresident Tuition Fee per Semester Unit (E/30)</v>
      </c>
      <c r="E13" s="33">
        <f>IF($D$4="Semester",ROUND(E12/30,0),ROUND(E12/45,0))</f>
        <v>243</v>
      </c>
      <c r="F13" s="21"/>
    </row>
    <row r="14" spans="1:12" ht="6" customHeight="1">
      <c r="B14" s="34"/>
      <c r="C14" s="24"/>
      <c r="D14" s="24"/>
      <c r="E14" s="26"/>
    </row>
    <row r="15" spans="1:12" ht="13.9">
      <c r="B15" s="28" t="s">
        <v>35</v>
      </c>
      <c r="C15" s="29" t="s">
        <v>267</v>
      </c>
      <c r="D15" s="24"/>
      <c r="E15" s="35"/>
    </row>
    <row r="16" spans="1:12" s="17" customFormat="1" ht="12.75">
      <c r="B16" s="30"/>
      <c r="C16" s="19"/>
      <c r="D16" s="19" t="s">
        <v>21</v>
      </c>
      <c r="E16" s="36">
        <f>VLOOKUP(D3,Table1[],8,FALSE)</f>
        <v>8.8354372255930139E-2</v>
      </c>
      <c r="F16" s="21"/>
    </row>
    <row r="17" spans="2:7" s="17" customFormat="1" ht="12.75">
      <c r="B17" s="30"/>
      <c r="C17" s="19" t="s">
        <v>7</v>
      </c>
      <c r="D17" s="19" t="s">
        <v>37</v>
      </c>
      <c r="E17" s="4"/>
      <c r="F17" s="21"/>
      <c r="G17" s="17" t="s">
        <v>244</v>
      </c>
    </row>
    <row r="18" spans="2:7" s="17" customFormat="1" ht="12.75">
      <c r="B18" s="30"/>
      <c r="C18" s="19" t="s">
        <v>8</v>
      </c>
      <c r="D18" s="19" t="s">
        <v>6</v>
      </c>
      <c r="E18" s="32" t="str">
        <f>IF($E$16&gt;0.1,VLOOKUP(D3,Table1[],9,FALSE),"N/A")</f>
        <v>N/A</v>
      </c>
      <c r="F18" s="21"/>
    </row>
    <row r="19" spans="2:7" s="17" customFormat="1" ht="12.75">
      <c r="B19" s="30"/>
      <c r="C19" s="19" t="s">
        <v>9</v>
      </c>
      <c r="D19" s="19" t="s">
        <v>23</v>
      </c>
      <c r="E19" s="31" t="str">
        <f>IF(E16&lt;0.1,"N/A",E17/E18)</f>
        <v>N/A</v>
      </c>
      <c r="F19" s="21"/>
    </row>
    <row r="20" spans="2:7" s="17" customFormat="1" ht="12.75">
      <c r="B20" s="30"/>
      <c r="C20" s="19" t="s">
        <v>10</v>
      </c>
      <c r="D20" s="19" t="s">
        <v>222</v>
      </c>
      <c r="E20" s="9">
        <f>ROUND(('CPI &amp; 12 State Average Info'!$E$16),3)</f>
        <v>1.042</v>
      </c>
      <c r="F20" s="21"/>
    </row>
    <row r="21" spans="2:7" s="17" customFormat="1" ht="12.75">
      <c r="B21" s="30"/>
      <c r="C21" s="19" t="s">
        <v>11</v>
      </c>
      <c r="D21" s="19" t="s">
        <v>14</v>
      </c>
      <c r="E21" s="32" t="str">
        <f>IF(E16&lt;0.1,"N/A",E19*E20)</f>
        <v>N/A</v>
      </c>
      <c r="F21" s="21"/>
    </row>
    <row r="22" spans="2:7" s="17" customFormat="1" ht="12.75">
      <c r="B22" s="30"/>
      <c r="C22" s="19" t="s">
        <v>12</v>
      </c>
      <c r="D22" s="19" t="str">
        <f>IF($D$4="Semester","Nonresident Tuition Fee per Semester Unit (E/30)","Nonresident Tuition Fee per Quarter Unit (E/45)")</f>
        <v>Nonresident Tuition Fee per Semester Unit (E/30)</v>
      </c>
      <c r="E22" s="33" t="str">
        <f>IF(E16&lt;0.1,"N/A",IF($D$4="Semester",ROUND(E21/30,0),ROUND(E21/45,0)))</f>
        <v>N/A</v>
      </c>
      <c r="F22" s="21"/>
    </row>
    <row r="23" spans="2:7" ht="6" customHeight="1">
      <c r="B23" s="34"/>
      <c r="C23" s="24"/>
      <c r="D23" s="24"/>
      <c r="E23" s="26"/>
    </row>
    <row r="24" spans="2:7" ht="13.9">
      <c r="B24" s="28" t="s">
        <v>46</v>
      </c>
      <c r="C24" s="37" t="s">
        <v>3</v>
      </c>
      <c r="D24" s="38"/>
      <c r="E24" s="39"/>
    </row>
    <row r="25" spans="2:7" s="17" customFormat="1" ht="12.75">
      <c r="B25" s="30"/>
      <c r="C25" s="19" t="s">
        <v>7</v>
      </c>
      <c r="D25" s="19" t="s">
        <v>38</v>
      </c>
      <c r="E25" s="32">
        <f>SUM(Table1[2018-19 Expense of Education*])</f>
        <v>9581068770</v>
      </c>
      <c r="F25" s="21"/>
    </row>
    <row r="26" spans="2:7" s="17" customFormat="1" ht="12.75">
      <c r="B26" s="30"/>
      <c r="C26" s="19" t="s">
        <v>8</v>
      </c>
      <c r="D26" s="19" t="s">
        <v>39</v>
      </c>
      <c r="E26" s="32">
        <f>SUM(Table1[2018-19 Total FTES])</f>
        <v>1148145.2399999995</v>
      </c>
      <c r="F26" s="21"/>
    </row>
    <row r="27" spans="2:7" s="17" customFormat="1" ht="12.75">
      <c r="B27" s="30"/>
      <c r="C27" s="19" t="s">
        <v>9</v>
      </c>
      <c r="D27" s="19" t="s">
        <v>23</v>
      </c>
      <c r="E27" s="31">
        <f>E25/E26</f>
        <v>8344.8229685645038</v>
      </c>
      <c r="F27" s="21"/>
    </row>
    <row r="28" spans="2:7" s="17" customFormat="1" ht="12.75">
      <c r="B28" s="30"/>
      <c r="C28" s="19" t="s">
        <v>10</v>
      </c>
      <c r="D28" s="19" t="s">
        <v>222</v>
      </c>
      <c r="E28" s="9">
        <f>ROUND(('CPI &amp; 12 State Average Info'!$E$16),3)</f>
        <v>1.042</v>
      </c>
      <c r="F28" s="21"/>
    </row>
    <row r="29" spans="2:7" s="17" customFormat="1" ht="12.75">
      <c r="B29" s="30"/>
      <c r="C29" s="19" t="s">
        <v>11</v>
      </c>
      <c r="D29" s="19" t="s">
        <v>14</v>
      </c>
      <c r="E29" s="32">
        <f>E27*E28</f>
        <v>8695.3055332442127</v>
      </c>
      <c r="F29" s="21"/>
    </row>
    <row r="30" spans="2:7" s="17" customFormat="1" ht="12.75">
      <c r="B30" s="30"/>
      <c r="C30" s="19" t="s">
        <v>12</v>
      </c>
      <c r="D30" s="19" t="str">
        <f>IF($D$4="Semester","Nonresident Tuition Fee per Semester Unit (E/30)","Nonresident Tuition Fee per Quarter Unit (E/45)")</f>
        <v>Nonresident Tuition Fee per Semester Unit (E/30)</v>
      </c>
      <c r="E30" s="40">
        <f>IF($D$4="Semester",ROUND(E29/30,0),ROUND(E29/45,0))</f>
        <v>290</v>
      </c>
      <c r="F30" s="21"/>
    </row>
    <row r="31" spans="2:7" ht="6" customHeight="1">
      <c r="B31" s="34"/>
      <c r="C31" s="24"/>
      <c r="D31" s="24"/>
      <c r="E31" s="26"/>
    </row>
    <row r="32" spans="2:7" ht="13.9">
      <c r="B32" s="28" t="s">
        <v>47</v>
      </c>
      <c r="C32" s="29" t="s">
        <v>272</v>
      </c>
      <c r="D32" s="24"/>
      <c r="E32" s="26"/>
    </row>
    <row r="33" spans="2:12" s="17" customFormat="1" ht="12.75">
      <c r="B33" s="30"/>
      <c r="C33" s="19"/>
      <c r="D33" s="19" t="s">
        <v>48</v>
      </c>
      <c r="E33" s="41" t="s">
        <v>283</v>
      </c>
      <c r="F33" s="21"/>
    </row>
    <row r="34" spans="2:12" s="17" customFormat="1" ht="12.75">
      <c r="B34" s="30"/>
      <c r="C34" s="19"/>
      <c r="D34" s="19" t="str">
        <f>IF($D$4="Semester","Nonresident Tuition Fee per Semester Unit","Nonresident Tuition Fee per Quarter Unit)")</f>
        <v>Nonresident Tuition Fee per Semester Unit</v>
      </c>
      <c r="E34" s="40">
        <f>IF($D$4="Semester",290,193)</f>
        <v>290</v>
      </c>
      <c r="F34" s="21"/>
    </row>
    <row r="35" spans="2:12" ht="6" customHeight="1">
      <c r="B35" s="34"/>
      <c r="C35" s="24"/>
      <c r="D35" s="24"/>
      <c r="E35" s="26"/>
    </row>
    <row r="36" spans="2:12" ht="13.9">
      <c r="B36" s="42" t="s">
        <v>49</v>
      </c>
      <c r="C36" s="29" t="s">
        <v>5</v>
      </c>
      <c r="D36" s="24"/>
      <c r="E36" s="43"/>
    </row>
    <row r="37" spans="2:12" s="17" customFormat="1" ht="14.45" customHeight="1">
      <c r="B37" s="30"/>
      <c r="C37" s="19"/>
      <c r="D37" s="19" t="s">
        <v>5</v>
      </c>
      <c r="E37" s="5"/>
      <c r="F37" s="21"/>
      <c r="G37" s="17" t="s">
        <v>246</v>
      </c>
    </row>
    <row r="38" spans="2:12" s="17" customFormat="1" ht="14.45" customHeight="1">
      <c r="B38" s="30"/>
      <c r="C38" s="19"/>
      <c r="D38" s="19" t="s">
        <v>264</v>
      </c>
      <c r="E38" s="5"/>
      <c r="F38" s="21"/>
      <c r="G38" s="17" t="s">
        <v>245</v>
      </c>
    </row>
    <row r="39" spans="2:12" s="17" customFormat="1" ht="14" customHeight="1">
      <c r="B39" s="30"/>
      <c r="C39" s="19"/>
      <c r="D39" s="19" t="str">
        <f>IF($D$4="Semester","Nonresident Tuition Fee per Semester Unit","Nonresident Tuition Fee per Quarter Unit)")</f>
        <v>Nonresident Tuition Fee per Semester Unit</v>
      </c>
      <c r="E39" s="6"/>
      <c r="F39" s="21"/>
      <c r="G39" s="17" t="s">
        <v>263</v>
      </c>
    </row>
    <row r="40" spans="2:12" ht="6" customHeight="1">
      <c r="B40" s="34"/>
      <c r="C40" s="24"/>
      <c r="D40" s="24"/>
      <c r="E40" s="26"/>
    </row>
    <row r="41" spans="2:12" ht="13.9">
      <c r="B41" s="28" t="s">
        <v>50</v>
      </c>
      <c r="C41" s="37" t="s">
        <v>258</v>
      </c>
      <c r="D41" s="24"/>
      <c r="E41" s="26"/>
      <c r="G41" s="21" t="s">
        <v>259</v>
      </c>
    </row>
    <row r="42" spans="2:12" s="17" customFormat="1" ht="12.75">
      <c r="B42" s="30"/>
      <c r="C42" s="19"/>
      <c r="D42" s="19" t="str">
        <f>IF($D$4="Semester","Minimum (Option B.1 - Statewide Average Cost) per Semester Unit","Minimum (Option B.1 - Statewide Average Cost) per Quarter Unit")</f>
        <v>Minimum (Option B.1 - Statewide Average Cost) per Semester Unit</v>
      </c>
      <c r="E42" s="31">
        <f>E30</f>
        <v>290</v>
      </c>
      <c r="F42" s="21"/>
      <c r="J42" s="21"/>
      <c r="K42" s="21"/>
      <c r="L42" s="21"/>
    </row>
    <row r="43" spans="2:12" s="17" customFormat="1" ht="12.75">
      <c r="B43" s="30"/>
      <c r="C43" s="19"/>
      <c r="D43" s="19" t="s">
        <v>262</v>
      </c>
      <c r="E43" s="31">
        <f>VLOOKUP(D3, Table1[],2,FALSE)</f>
        <v>69259609</v>
      </c>
      <c r="F43" s="21"/>
      <c r="G43" s="17" t="s">
        <v>260</v>
      </c>
      <c r="J43" s="21"/>
      <c r="K43" s="21"/>
      <c r="L43" s="21"/>
    </row>
    <row r="44" spans="2:12" s="17" customFormat="1" ht="12.75">
      <c r="B44" s="30"/>
      <c r="C44" s="19"/>
      <c r="D44" s="19" t="str">
        <f>IF($D$4="Semester","Nonresident Tuition Fee per Semester Unit","Nonresident Tuition Fee per Quarter Unit")</f>
        <v>Nonresident Tuition Fee per Semester Unit</v>
      </c>
      <c r="E44" s="6"/>
      <c r="F44" s="21"/>
      <c r="G44" s="17" t="s">
        <v>261</v>
      </c>
      <c r="J44" s="21"/>
      <c r="K44" s="21"/>
      <c r="L44" s="21"/>
    </row>
    <row r="45" spans="2:12" ht="6" customHeight="1">
      <c r="B45" s="34"/>
      <c r="C45" s="24"/>
      <c r="D45" s="24"/>
      <c r="E45" s="26"/>
    </row>
    <row r="46" spans="2:12" ht="13.9">
      <c r="B46" s="28" t="s">
        <v>51</v>
      </c>
      <c r="C46" s="29" t="s">
        <v>52</v>
      </c>
      <c r="D46" s="25"/>
      <c r="E46" s="26"/>
    </row>
    <row r="47" spans="2:12" s="17" customFormat="1" ht="13.15">
      <c r="B47" s="18"/>
      <c r="C47" s="44"/>
      <c r="D47" s="19" t="str">
        <f>IF($D$4="Semester","Nonresident Tuition Fee per Semester Unit","Nonresident Tuition Fee per Quarter Unit)")</f>
        <v>Nonresident Tuition Fee per Semester Unit</v>
      </c>
      <c r="E47" s="40">
        <f>IF($D$4="Semester",414,276)</f>
        <v>414</v>
      </c>
      <c r="F47" s="21"/>
      <c r="G47" s="21"/>
      <c r="H47" s="21"/>
      <c r="I47" s="21"/>
      <c r="J47" s="21"/>
      <c r="K47" s="21"/>
      <c r="L47" s="21"/>
    </row>
    <row r="48" spans="2:12" ht="6" customHeight="1" thickBot="1">
      <c r="B48" s="62"/>
      <c r="C48" s="103"/>
      <c r="D48" s="104"/>
      <c r="E48" s="105"/>
    </row>
    <row r="49" spans="2:12" ht="13.9">
      <c r="B49" s="102" t="s">
        <v>26</v>
      </c>
      <c r="C49" s="56"/>
      <c r="D49" s="56"/>
      <c r="E49" s="57"/>
    </row>
    <row r="50" spans="2:12" s="17" customFormat="1" ht="12.75">
      <c r="B50" s="47"/>
      <c r="C50" s="19" t="s">
        <v>7</v>
      </c>
      <c r="D50" s="19" t="s">
        <v>277</v>
      </c>
      <c r="E50" s="4"/>
      <c r="F50" s="21"/>
      <c r="G50" s="21" t="s">
        <v>247</v>
      </c>
      <c r="H50" s="21"/>
      <c r="I50" s="21"/>
      <c r="J50" s="21"/>
      <c r="K50" s="21"/>
      <c r="L50" s="21"/>
    </row>
    <row r="51" spans="2:12" s="17" customFormat="1" ht="12.75">
      <c r="B51" s="47"/>
      <c r="C51" s="19" t="s">
        <v>8</v>
      </c>
      <c r="D51" s="19" t="s">
        <v>278</v>
      </c>
      <c r="E51" s="32">
        <f>VLOOKUP(D3,Table1[],10,FALSE)</f>
        <v>9887.23</v>
      </c>
      <c r="F51" s="21"/>
      <c r="G51" s="21"/>
      <c r="H51" s="21"/>
      <c r="I51" s="21"/>
      <c r="J51" s="21"/>
      <c r="K51" s="21"/>
      <c r="L51" s="21"/>
    </row>
    <row r="52" spans="2:12" s="17" customFormat="1" ht="12.75">
      <c r="B52" s="47"/>
      <c r="C52" s="19" t="s">
        <v>9</v>
      </c>
      <c r="D52" s="19" t="s">
        <v>27</v>
      </c>
      <c r="E52" s="31">
        <f>E50/E51</f>
        <v>0</v>
      </c>
      <c r="F52" s="21"/>
      <c r="G52" s="21"/>
      <c r="H52" s="21"/>
      <c r="I52" s="21"/>
      <c r="J52" s="21"/>
      <c r="K52" s="21"/>
      <c r="L52" s="21"/>
    </row>
    <row r="53" spans="2:12" s="17" customFormat="1" ht="12.75">
      <c r="B53" s="47"/>
      <c r="C53" s="19" t="s">
        <v>10</v>
      </c>
      <c r="D53" s="19" t="str">
        <f>IF($D$4="Semester","Capital Outlay Fee per Semester Unit (C/30)","Capital Outlay Fee per Quarter Unit (C/45)")</f>
        <v>Capital Outlay Fee per Semester Unit (C/30)</v>
      </c>
      <c r="E53" s="48">
        <f>IF($D$4="Semester",ROUND(E52/30,2),ROUND(E52/45,2))</f>
        <v>0</v>
      </c>
      <c r="F53" s="21"/>
      <c r="G53" s="21"/>
      <c r="H53" s="21"/>
      <c r="I53" s="21"/>
      <c r="J53" s="21"/>
      <c r="K53" s="21"/>
      <c r="L53" s="21"/>
    </row>
    <row r="54" spans="2:12" s="17" customFormat="1" ht="12.75">
      <c r="B54" s="47"/>
      <c r="C54" s="19" t="s">
        <v>11</v>
      </c>
      <c r="D54" s="19" t="s">
        <v>279</v>
      </c>
      <c r="E54" s="49">
        <f>SUM(E66:E72)</f>
        <v>0</v>
      </c>
      <c r="G54" s="21" t="s">
        <v>257</v>
      </c>
      <c r="H54" s="21"/>
      <c r="I54" s="21"/>
      <c r="J54" s="21"/>
      <c r="K54" s="21"/>
      <c r="L54" s="21"/>
    </row>
    <row r="55" spans="2:12" s="17" customFormat="1" ht="12.75">
      <c r="B55" s="47"/>
      <c r="C55" s="19" t="s">
        <v>12</v>
      </c>
      <c r="D55" s="19" t="s">
        <v>280</v>
      </c>
      <c r="E55" s="50">
        <f>E54*0.5</f>
        <v>0</v>
      </c>
      <c r="F55" s="21"/>
      <c r="G55" s="21"/>
      <c r="H55" s="21"/>
      <c r="I55" s="21"/>
      <c r="J55" s="21"/>
      <c r="K55" s="21"/>
      <c r="L55" s="21"/>
    </row>
    <row r="56" spans="2:12" s="17" customFormat="1" ht="13.15" thickBot="1">
      <c r="B56" s="51"/>
      <c r="C56" s="52" t="s">
        <v>13</v>
      </c>
      <c r="D56" s="53" t="s">
        <v>281</v>
      </c>
      <c r="E56" s="54">
        <f>IF(E53&lt;E55,E53,E55)</f>
        <v>0</v>
      </c>
      <c r="G56" s="21" t="s">
        <v>135</v>
      </c>
      <c r="H56" s="21"/>
      <c r="I56" s="21"/>
      <c r="J56" s="21"/>
      <c r="K56" s="21"/>
      <c r="L56" s="21"/>
    </row>
    <row r="57" spans="2:12" ht="17.25">
      <c r="B57" s="115" t="s">
        <v>41</v>
      </c>
      <c r="C57" s="116"/>
      <c r="D57" s="116"/>
      <c r="E57" s="117"/>
    </row>
    <row r="58" spans="2:12" ht="17.25">
      <c r="B58" s="118" t="s">
        <v>282</v>
      </c>
      <c r="C58" s="119"/>
      <c r="D58" s="119"/>
      <c r="E58" s="120"/>
    </row>
    <row r="59" spans="2:12" ht="17.649999999999999" thickBot="1">
      <c r="B59" s="121" t="str">
        <f>IF(ISBLANK(D3),"",D3)</f>
        <v>Allan Hancock Community College District</v>
      </c>
      <c r="C59" s="122"/>
      <c r="D59" s="122"/>
      <c r="E59" s="123"/>
    </row>
    <row r="60" spans="2:12">
      <c r="B60" s="55"/>
      <c r="C60" s="56"/>
      <c r="D60" s="56"/>
      <c r="E60" s="57"/>
    </row>
    <row r="61" spans="2:12" ht="13.9">
      <c r="B61" s="45"/>
      <c r="C61" s="29" t="s">
        <v>94</v>
      </c>
      <c r="D61" s="24"/>
      <c r="E61" s="26"/>
    </row>
    <row r="62" spans="2:12" ht="13.9">
      <c r="B62" s="45"/>
      <c r="C62" s="58" t="s">
        <v>60</v>
      </c>
      <c r="D62" s="7"/>
      <c r="E62" s="26"/>
      <c r="G62" s="21" t="s">
        <v>254</v>
      </c>
    </row>
    <row r="63" spans="2:12">
      <c r="B63" s="59"/>
      <c r="C63" s="24"/>
      <c r="D63" s="24"/>
      <c r="E63" s="26"/>
    </row>
    <row r="64" spans="2:12" ht="13.9">
      <c r="B64" s="46" t="s">
        <v>53</v>
      </c>
      <c r="C64" s="29"/>
      <c r="D64" s="24"/>
      <c r="E64" s="26"/>
    </row>
    <row r="65" spans="2:7" ht="14.45" customHeight="1">
      <c r="B65" s="111" t="s">
        <v>57</v>
      </c>
      <c r="C65" s="112"/>
      <c r="D65" s="112"/>
      <c r="E65" s="64" t="s">
        <v>24</v>
      </c>
    </row>
    <row r="66" spans="2:7" ht="18" customHeight="1">
      <c r="B66" s="59"/>
      <c r="C66" s="8"/>
      <c r="D66" s="24" t="s">
        <v>268</v>
      </c>
      <c r="E66" s="65" t="str">
        <f>IF(NOT(C66=""),E13,"")</f>
        <v/>
      </c>
      <c r="G66" s="21" t="s">
        <v>248</v>
      </c>
    </row>
    <row r="67" spans="2:7" ht="18" customHeight="1">
      <c r="B67" s="59"/>
      <c r="C67" s="8"/>
      <c r="D67" s="24" t="s">
        <v>269</v>
      </c>
      <c r="E67" s="65" t="str">
        <f>IF(NOT(C67=""),E22,"")</f>
        <v/>
      </c>
    </row>
    <row r="68" spans="2:7" ht="18" customHeight="1">
      <c r="B68" s="59"/>
      <c r="C68" s="8"/>
      <c r="D68" s="24" t="s">
        <v>270</v>
      </c>
      <c r="E68" s="65" t="str">
        <f>IF(NOT(C68=""),E30,"")</f>
        <v/>
      </c>
    </row>
    <row r="69" spans="2:7" ht="18" customHeight="1">
      <c r="B69" s="59"/>
      <c r="C69" s="8"/>
      <c r="D69" s="24" t="s">
        <v>271</v>
      </c>
      <c r="E69" s="65" t="str">
        <f>IF(NOT(C69=""),E34,"")</f>
        <v/>
      </c>
    </row>
    <row r="70" spans="2:7" ht="18" customHeight="1">
      <c r="B70" s="59"/>
      <c r="C70" s="8"/>
      <c r="D70" s="24" t="s">
        <v>265</v>
      </c>
      <c r="E70" s="65" t="str">
        <f>IF(NOT(C70=""),E39,"")</f>
        <v/>
      </c>
    </row>
    <row r="71" spans="2:7" ht="18" customHeight="1">
      <c r="B71" s="59"/>
      <c r="C71" s="8"/>
      <c r="D71" s="24" t="s">
        <v>266</v>
      </c>
      <c r="E71" s="65" t="str">
        <f>IF(NOT(C71=""),E44,"")</f>
        <v/>
      </c>
    </row>
    <row r="72" spans="2:7" ht="18" customHeight="1">
      <c r="B72" s="59"/>
      <c r="C72" s="8"/>
      <c r="D72" s="24" t="s">
        <v>54</v>
      </c>
      <c r="E72" s="65" t="str">
        <f>IF(NOT(C72=""),E47,"")</f>
        <v/>
      </c>
    </row>
    <row r="73" spans="2:7">
      <c r="B73" s="59"/>
      <c r="C73" s="24"/>
      <c r="D73" s="24"/>
      <c r="E73" s="26"/>
    </row>
    <row r="74" spans="2:7" ht="13.9">
      <c r="B74" s="46" t="s">
        <v>29</v>
      </c>
      <c r="C74" s="29"/>
      <c r="D74" s="24"/>
      <c r="E74" s="26"/>
    </row>
    <row r="75" spans="2:7" ht="13.9">
      <c r="B75" s="46"/>
      <c r="C75" s="29"/>
      <c r="D75" s="98" t="str">
        <f>IF(E56&gt;0,"Maximum Nonresident Capital Outlay Fee is $ " &amp; ROUND(E56,0), "Maximum Nonresident Capital Outlay Fee is $ 0")</f>
        <v>Maximum Nonresident Capital Outlay Fee is $ 0</v>
      </c>
      <c r="E75" s="26"/>
    </row>
    <row r="76" spans="2:7" ht="18" customHeight="1">
      <c r="B76" s="59"/>
      <c r="C76" s="8"/>
      <c r="D76" s="24" t="s">
        <v>26</v>
      </c>
      <c r="E76" s="100"/>
      <c r="G76" s="21" t="s">
        <v>256</v>
      </c>
    </row>
    <row r="77" spans="2:7">
      <c r="B77" s="59"/>
      <c r="C77" s="24"/>
      <c r="D77" s="24"/>
      <c r="E77" s="26"/>
    </row>
    <row r="78" spans="2:7" ht="14.45" customHeight="1">
      <c r="B78" s="45"/>
      <c r="C78" s="60"/>
      <c r="D78" s="99"/>
      <c r="E78" s="61"/>
    </row>
    <row r="79" spans="2:7" ht="13.9">
      <c r="B79" s="46" t="s">
        <v>250</v>
      </c>
      <c r="C79" s="24"/>
      <c r="D79" s="24"/>
      <c r="E79" s="26"/>
    </row>
    <row r="80" spans="2:7" ht="25.25" customHeight="1">
      <c r="B80" s="46"/>
      <c r="C80" s="58" t="s">
        <v>251</v>
      </c>
      <c r="D80" s="113"/>
      <c r="E80" s="114"/>
    </row>
    <row r="81" spans="2:7" ht="25.25" customHeight="1">
      <c r="B81" s="45"/>
      <c r="C81" s="58" t="s">
        <v>32</v>
      </c>
      <c r="D81" s="113"/>
      <c r="E81" s="114"/>
      <c r="G81" s="21" t="s">
        <v>249</v>
      </c>
    </row>
    <row r="82" spans="2:7" ht="25.25" customHeight="1">
      <c r="B82" s="45"/>
      <c r="C82" s="58" t="s">
        <v>33</v>
      </c>
      <c r="D82" s="113"/>
      <c r="E82" s="114"/>
    </row>
    <row r="83" spans="2:7" ht="25.25" customHeight="1">
      <c r="B83" s="45"/>
      <c r="C83" s="58" t="s">
        <v>30</v>
      </c>
      <c r="D83" s="107"/>
      <c r="E83" s="108"/>
      <c r="G83" s="21" t="s">
        <v>252</v>
      </c>
    </row>
    <row r="84" spans="2:7" ht="25.25" customHeight="1" thickBot="1">
      <c r="B84" s="62"/>
      <c r="C84" s="63" t="s">
        <v>31</v>
      </c>
      <c r="D84" s="109"/>
      <c r="E84" s="110"/>
      <c r="G84" s="21" t="s">
        <v>253</v>
      </c>
    </row>
  </sheetData>
  <mergeCells count="9">
    <mergeCell ref="D83:E83"/>
    <mergeCell ref="D84:E84"/>
    <mergeCell ref="B65:D65"/>
    <mergeCell ref="D80:E80"/>
    <mergeCell ref="B57:E57"/>
    <mergeCell ref="B58:E58"/>
    <mergeCell ref="D81:E81"/>
    <mergeCell ref="B59:E59"/>
    <mergeCell ref="D82:E82"/>
  </mergeCells>
  <dataValidations count="1">
    <dataValidation type="list" showInputMessage="1" showErrorMessage="1" sqref="C76 C66:C72">
      <formula1>$A$1:$A$2</formula1>
    </dataValidation>
  </dataValidations>
  <pageMargins left="0.7" right="0.7" top="0.75" bottom="0.75" header="0.3" footer="0.3"/>
  <pageSetup scale="85" fitToHeight="0" orientation="portrait" r:id="rId1"/>
  <headerFooter>
    <oddHeader xml:space="preserve">&amp;LFS18-09 2019-20 Nonresident Fee Worksheet
</oddHeader>
    <oddFooter>Page &amp;P</oddFooter>
  </headerFooter>
  <rowBreaks count="3" manualBreakCount="3">
    <brk id="1" min="1" max="6" man="1"/>
    <brk id="48" min="1" max="4" man="1"/>
    <brk id="56" min="1" max="4"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'Data Table'!$B$3:$B$74</xm:f>
          </x14:formula1>
          <xm:sqref>D3</xm:sqref>
        </x14:dataValidation>
        <x14:dataValidation type="list" allowBlank="1" showInputMessage="1" showErrorMessage="1">
          <x14:formula1>
            <xm:f>'Data Table'!$O$3:$O$73</xm:f>
          </x14:formula1>
          <xm:sqref>E37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8"/>
  <sheetViews>
    <sheetView topLeftCell="A69" zoomScale="80" zoomScaleNormal="80" workbookViewId="0">
      <selection activeCell="D82" sqref="D82"/>
    </sheetView>
  </sheetViews>
  <sheetFormatPr defaultColWidth="8.875" defaultRowHeight="13.5"/>
  <cols>
    <col min="1" max="1" width="8.875" style="12"/>
    <col min="2" max="2" width="56.4375" style="12" bestFit="1" customWidth="1"/>
    <col min="3" max="8" width="31.875" style="12" customWidth="1"/>
    <col min="9" max="9" width="31.875" style="84" customWidth="1"/>
    <col min="10" max="10" width="31.875" style="85" customWidth="1"/>
    <col min="11" max="11" width="22.5625" style="12" customWidth="1"/>
    <col min="12" max="12" width="17.4375" style="83" customWidth="1"/>
    <col min="13" max="13" width="19.875" style="12" customWidth="1"/>
    <col min="14" max="14" width="8.875" style="12"/>
    <col min="15" max="15" width="37.6875" style="12" customWidth="1"/>
    <col min="16" max="16384" width="8.875" style="12"/>
  </cols>
  <sheetData>
    <row r="1" spans="2:15" ht="15.75">
      <c r="B1" s="66"/>
      <c r="C1" s="66"/>
      <c r="D1" s="66"/>
      <c r="E1" s="66"/>
      <c r="F1" s="66"/>
      <c r="G1" s="66"/>
      <c r="H1" s="66"/>
      <c r="I1" s="66"/>
      <c r="J1" s="66"/>
      <c r="K1" s="66"/>
      <c r="L1" s="67"/>
      <c r="M1" s="67"/>
    </row>
    <row r="2" spans="2:15" ht="31.5">
      <c r="B2" s="66" t="s">
        <v>0</v>
      </c>
      <c r="C2" s="66" t="s">
        <v>273</v>
      </c>
      <c r="D2" s="66" t="s">
        <v>15</v>
      </c>
      <c r="E2" s="66" t="s">
        <v>16</v>
      </c>
      <c r="F2" s="66" t="s">
        <v>17</v>
      </c>
      <c r="G2" s="66" t="s">
        <v>18</v>
      </c>
      <c r="H2" s="66" t="s">
        <v>19</v>
      </c>
      <c r="I2" s="66" t="s">
        <v>20</v>
      </c>
      <c r="J2" s="66" t="s">
        <v>22</v>
      </c>
      <c r="K2" s="66" t="s">
        <v>274</v>
      </c>
      <c r="L2" s="66" t="s">
        <v>275</v>
      </c>
      <c r="M2" s="68" t="s">
        <v>55</v>
      </c>
      <c r="O2" s="12" t="s">
        <v>207</v>
      </c>
    </row>
    <row r="3" spans="2:15" ht="15.75">
      <c r="B3" s="69" t="s">
        <v>63</v>
      </c>
      <c r="C3" s="106">
        <v>69259609</v>
      </c>
      <c r="D3" s="70">
        <v>8902.43</v>
      </c>
      <c r="E3" s="70">
        <v>651.49</v>
      </c>
      <c r="F3" s="70">
        <v>111.22</v>
      </c>
      <c r="G3" s="70">
        <v>222.09</v>
      </c>
      <c r="H3" s="70">
        <f>Table1[[#This Row],[NONResident Noncredit FTES3]]+Table1[[#This Row],[Resident Noncredit FTES]]</f>
        <v>873.58</v>
      </c>
      <c r="I3" s="71">
        <f>Table1[[#This Row],[Total Noncredit]]/Table1[[#This Row],[2018-19 Total FTES]]</f>
        <v>8.8354372255930139E-2</v>
      </c>
      <c r="J3" s="72">
        <f>Table1[[#This Row],[Resident Credit FTES]]+Table1[[#This Row],[NONResident Credit FTES2]]</f>
        <v>9013.65</v>
      </c>
      <c r="K3" s="70">
        <f>SUM(Table1[[#This Row],[Resident Credit FTES]:[NONResident Noncredit FTES3]])</f>
        <v>9887.23</v>
      </c>
      <c r="L3" s="73">
        <f>Table1[[#This Row],[2018-19 Expense of Education*]]/Table1[[#This Row],[2018-19 Total FTES]]</f>
        <v>7004.9557864032704</v>
      </c>
      <c r="M3" s="69" t="s">
        <v>28</v>
      </c>
      <c r="O3" s="74" t="s">
        <v>136</v>
      </c>
    </row>
    <row r="4" spans="2:15" ht="15.75">
      <c r="B4" s="69" t="s">
        <v>43</v>
      </c>
      <c r="C4" s="106">
        <v>84683862</v>
      </c>
      <c r="D4" s="70">
        <v>10906.59</v>
      </c>
      <c r="E4" s="70">
        <v>106.21</v>
      </c>
      <c r="F4" s="70">
        <v>88.4</v>
      </c>
      <c r="G4" s="70">
        <v>0</v>
      </c>
      <c r="H4" s="70">
        <f>Table1[[#This Row],[NONResident Noncredit FTES3]]+Table1[[#This Row],[Resident Noncredit FTES]]</f>
        <v>106.21</v>
      </c>
      <c r="I4" s="71">
        <f>Table1[[#This Row],[Total Noncredit]]/Table1[[#This Row],[2018-19 Total FTES]]</f>
        <v>9.5674341512629272E-3</v>
      </c>
      <c r="J4" s="72">
        <f>Table1[[#This Row],[Resident Credit FTES]]+Table1[[#This Row],[NONResident Credit FTES2]]</f>
        <v>10994.99</v>
      </c>
      <c r="K4" s="70">
        <f>SUM(Table1[[#This Row],[Resident Credit FTES]:[NONResident Noncredit FTES3]])</f>
        <v>11101.199999999999</v>
      </c>
      <c r="L4" s="73">
        <f>Table1[[#This Row],[2018-19 Expense of Education*]]/Table1[[#This Row],[2018-19 Total FTES]]</f>
        <v>7628.3520700464824</v>
      </c>
      <c r="M4" s="69" t="s">
        <v>28</v>
      </c>
      <c r="O4" s="75" t="s">
        <v>137</v>
      </c>
    </row>
    <row r="5" spans="2:15" ht="15.75">
      <c r="B5" s="69" t="s">
        <v>44</v>
      </c>
      <c r="C5" s="106">
        <v>21063990</v>
      </c>
      <c r="D5" s="70">
        <v>2522.0700000000002</v>
      </c>
      <c r="E5" s="70">
        <v>29.17</v>
      </c>
      <c r="F5" s="70">
        <v>75.959999999999994</v>
      </c>
      <c r="G5" s="70">
        <v>1.9</v>
      </c>
      <c r="H5" s="70">
        <f>Table1[[#This Row],[NONResident Noncredit FTES3]]+Table1[[#This Row],[Resident Noncredit FTES]]</f>
        <v>31.07</v>
      </c>
      <c r="I5" s="71">
        <f>Table1[[#This Row],[Total Noncredit]]/Table1[[#This Row],[2018-19 Total FTES]]</f>
        <v>1.1817732303830207E-2</v>
      </c>
      <c r="J5" s="72">
        <f>Table1[[#This Row],[Resident Credit FTES]]+Table1[[#This Row],[NONResident Credit FTES2]]</f>
        <v>2598.0300000000002</v>
      </c>
      <c r="K5" s="70">
        <f>SUM(Table1[[#This Row],[Resident Credit FTES]:[NONResident Noncredit FTES3]])</f>
        <v>2629.1000000000004</v>
      </c>
      <c r="L5" s="73">
        <f>Table1[[#This Row],[2018-19 Expense of Education*]]/Table1[[#This Row],[2018-19 Total FTES]]</f>
        <v>8011.8633752995311</v>
      </c>
      <c r="M5" s="69" t="s">
        <v>28</v>
      </c>
      <c r="O5" s="74" t="s">
        <v>138</v>
      </c>
    </row>
    <row r="6" spans="2:15" ht="15.75">
      <c r="B6" s="69" t="s">
        <v>64</v>
      </c>
      <c r="C6" s="106">
        <v>137094922</v>
      </c>
      <c r="D6" s="70">
        <v>8499.0499999999993</v>
      </c>
      <c r="E6" s="70">
        <v>913.12</v>
      </c>
      <c r="F6" s="70">
        <v>281.39999999999998</v>
      </c>
      <c r="G6" s="70">
        <v>0</v>
      </c>
      <c r="H6" s="70">
        <f>Table1[[#This Row],[NONResident Noncredit FTES3]]+Table1[[#This Row],[Resident Noncredit FTES]]</f>
        <v>913.12</v>
      </c>
      <c r="I6" s="71">
        <f>Table1[[#This Row],[Total Noncredit]]/Table1[[#This Row],[2018-19 Total FTES]]</f>
        <v>9.4198525414269457E-2</v>
      </c>
      <c r="J6" s="72">
        <f>Table1[[#This Row],[Resident Credit FTES]]+Table1[[#This Row],[NONResident Credit FTES2]]</f>
        <v>8780.4499999999989</v>
      </c>
      <c r="K6" s="70">
        <f>SUM(Table1[[#This Row],[Resident Credit FTES]:[NONResident Noncredit FTES3]])</f>
        <v>9693.57</v>
      </c>
      <c r="L6" s="73">
        <f>Table1[[#This Row],[2018-19 Expense of Education*]]/Table1[[#This Row],[2018-19 Total FTES]]</f>
        <v>14142.872233862241</v>
      </c>
      <c r="M6" s="69" t="s">
        <v>28</v>
      </c>
      <c r="O6" s="75" t="s">
        <v>139</v>
      </c>
    </row>
    <row r="7" spans="2:15" ht="15.75">
      <c r="B7" s="69" t="s">
        <v>65</v>
      </c>
      <c r="C7" s="106">
        <v>82053546</v>
      </c>
      <c r="D7" s="70">
        <v>9490.0400000000009</v>
      </c>
      <c r="E7" s="70">
        <v>421.3</v>
      </c>
      <c r="F7" s="70">
        <v>196.42</v>
      </c>
      <c r="G7" s="70">
        <v>0</v>
      </c>
      <c r="H7" s="70">
        <f>Table1[[#This Row],[NONResident Noncredit FTES3]]+Table1[[#This Row],[Resident Noncredit FTES]]</f>
        <v>421.3</v>
      </c>
      <c r="I7" s="71">
        <f>Table1[[#This Row],[Total Noncredit]]/Table1[[#This Row],[2018-19 Total FTES]]</f>
        <v>4.1680847190673304E-2</v>
      </c>
      <c r="J7" s="72">
        <f>Table1[[#This Row],[Resident Credit FTES]]+Table1[[#This Row],[NONResident Credit FTES2]]</f>
        <v>9686.4600000000009</v>
      </c>
      <c r="K7" s="70">
        <f>SUM(Table1[[#This Row],[Resident Credit FTES]:[NONResident Noncredit FTES3]])</f>
        <v>10107.76</v>
      </c>
      <c r="L7" s="73">
        <f>Table1[[#This Row],[2018-19 Expense of Education*]]/Table1[[#This Row],[2018-19 Total FTES]]</f>
        <v>8117.8763642983213</v>
      </c>
      <c r="M7" s="69" t="s">
        <v>28</v>
      </c>
      <c r="O7" s="74" t="s">
        <v>140</v>
      </c>
    </row>
    <row r="8" spans="2:15" ht="15.75">
      <c r="B8" s="69" t="s">
        <v>66</v>
      </c>
      <c r="C8" s="106">
        <v>127111451</v>
      </c>
      <c r="D8" s="70">
        <v>15237.94</v>
      </c>
      <c r="E8" s="70">
        <v>436.98</v>
      </c>
      <c r="F8" s="70">
        <v>205.54</v>
      </c>
      <c r="G8" s="70">
        <v>0</v>
      </c>
      <c r="H8" s="70">
        <f>Table1[[#This Row],[NONResident Noncredit FTES3]]+Table1[[#This Row],[Resident Noncredit FTES]]</f>
        <v>436.98</v>
      </c>
      <c r="I8" s="71">
        <f>Table1[[#This Row],[Total Noncredit]]/Table1[[#This Row],[2018-19 Total FTES]]</f>
        <v>2.7516835154649172E-2</v>
      </c>
      <c r="J8" s="72">
        <f>Table1[[#This Row],[Resident Credit FTES]]+Table1[[#This Row],[NONResident Credit FTES2]]</f>
        <v>15443.480000000001</v>
      </c>
      <c r="K8" s="70">
        <f>SUM(Table1[[#This Row],[Resident Credit FTES]:[NONResident Noncredit FTES3]])</f>
        <v>15880.460000000001</v>
      </c>
      <c r="L8" s="73">
        <f>Table1[[#This Row],[2018-19 Expense of Education*]]/Table1[[#This Row],[2018-19 Total FTES]]</f>
        <v>8004.2675715942732</v>
      </c>
      <c r="M8" s="69" t="s">
        <v>28</v>
      </c>
      <c r="O8" s="75" t="s">
        <v>141</v>
      </c>
    </row>
    <row r="9" spans="2:15" ht="15.75">
      <c r="B9" s="76" t="s">
        <v>67</v>
      </c>
      <c r="C9" s="106">
        <v>156282425</v>
      </c>
      <c r="D9" s="77">
        <v>15495.43</v>
      </c>
      <c r="E9" s="77">
        <v>170.56</v>
      </c>
      <c r="F9" s="77">
        <v>369.57</v>
      </c>
      <c r="G9" s="77">
        <v>3.8</v>
      </c>
      <c r="H9" s="77">
        <f>Table1[[#This Row],[NONResident Noncredit FTES3]]+Table1[[#This Row],[Resident Noncredit FTES]]</f>
        <v>174.36</v>
      </c>
      <c r="I9" s="78">
        <f>Table1[[#This Row],[Total Noncredit]]/Table1[[#This Row],[2018-19 Total FTES]]</f>
        <v>1.0870757935478724E-2</v>
      </c>
      <c r="J9" s="79">
        <f>Table1[[#This Row],[Resident Credit FTES]]+Table1[[#This Row],[NONResident Credit FTES2]]</f>
        <v>15865</v>
      </c>
      <c r="K9" s="77">
        <f>SUM(Table1[[#This Row],[Resident Credit FTES]:[NONResident Noncredit FTES3]])</f>
        <v>16039.359999999999</v>
      </c>
      <c r="L9" s="73">
        <f>Table1[[#This Row],[2018-19 Expense of Education*]]/Table1[[#This Row],[2018-19 Total FTES]]</f>
        <v>9743.6821045228753</v>
      </c>
      <c r="M9" s="69" t="s">
        <v>28</v>
      </c>
      <c r="O9" s="74" t="s">
        <v>142</v>
      </c>
    </row>
    <row r="10" spans="2:15" ht="15.75">
      <c r="B10" s="69" t="s">
        <v>68</v>
      </c>
      <c r="C10" s="106">
        <v>124559096</v>
      </c>
      <c r="D10" s="70">
        <v>16550.97</v>
      </c>
      <c r="E10" s="70">
        <v>365.01</v>
      </c>
      <c r="F10" s="70">
        <v>396.99</v>
      </c>
      <c r="G10" s="70">
        <v>0</v>
      </c>
      <c r="H10" s="70">
        <f>Table1[[#This Row],[NONResident Noncredit FTES3]]+Table1[[#This Row],[Resident Noncredit FTES]]</f>
        <v>365.01</v>
      </c>
      <c r="I10" s="71">
        <f>Table1[[#This Row],[Total Noncredit]]/Table1[[#This Row],[2018-19 Total FTES]]</f>
        <v>2.1083037745690078E-2</v>
      </c>
      <c r="J10" s="72">
        <f>Table1[[#This Row],[Resident Credit FTES]]+Table1[[#This Row],[NONResident Credit FTES2]]</f>
        <v>16947.960000000003</v>
      </c>
      <c r="K10" s="70">
        <f>SUM(Table1[[#This Row],[Resident Credit FTES]:[NONResident Noncredit FTES3]])</f>
        <v>17312.97</v>
      </c>
      <c r="L10" s="73">
        <f>Table1[[#This Row],[2018-19 Expense of Education*]]/Table1[[#This Row],[2018-19 Total FTES]]</f>
        <v>7194.5539095833929</v>
      </c>
      <c r="M10" s="69" t="s">
        <v>28</v>
      </c>
      <c r="O10" s="75" t="s">
        <v>143</v>
      </c>
    </row>
    <row r="11" spans="2:15" ht="15.75">
      <c r="B11" s="69" t="s">
        <v>69</v>
      </c>
      <c r="C11" s="106">
        <v>84991875</v>
      </c>
      <c r="D11" s="70">
        <v>11066.59</v>
      </c>
      <c r="E11" s="70">
        <v>310.26</v>
      </c>
      <c r="F11" s="70">
        <v>658.02</v>
      </c>
      <c r="G11" s="70">
        <v>0.37</v>
      </c>
      <c r="H11" s="70">
        <f>Table1[[#This Row],[NONResident Noncredit FTES3]]+Table1[[#This Row],[Resident Noncredit FTES]]</f>
        <v>310.63</v>
      </c>
      <c r="I11" s="71">
        <f>Table1[[#This Row],[Total Noncredit]]/Table1[[#This Row],[2018-19 Total FTES]]</f>
        <v>2.5810037855497684E-2</v>
      </c>
      <c r="J11" s="72">
        <f>Table1[[#This Row],[Resident Credit FTES]]+Table1[[#This Row],[NONResident Credit FTES2]]</f>
        <v>11724.61</v>
      </c>
      <c r="K11" s="70">
        <f>SUM(Table1[[#This Row],[Resident Credit FTES]:[NONResident Noncredit FTES3]])</f>
        <v>12035.240000000002</v>
      </c>
      <c r="L11" s="73">
        <f>Table1[[#This Row],[2018-19 Expense of Education*]]/Table1[[#This Row],[2018-19 Total FTES]]</f>
        <v>7061.9177515363208</v>
      </c>
      <c r="M11" s="69" t="s">
        <v>28</v>
      </c>
      <c r="O11" s="74" t="s">
        <v>144</v>
      </c>
    </row>
    <row r="12" spans="2:15" ht="15.75">
      <c r="B12" s="69" t="s">
        <v>70</v>
      </c>
      <c r="C12" s="106">
        <v>254423854</v>
      </c>
      <c r="D12" s="77">
        <v>30063.68</v>
      </c>
      <c r="E12" s="77">
        <v>478.56</v>
      </c>
      <c r="F12" s="77">
        <v>2297.75</v>
      </c>
      <c r="G12" s="77">
        <v>5.62</v>
      </c>
      <c r="H12" s="77">
        <f>Table1[[#This Row],[NONResident Noncredit FTES3]]+Table1[[#This Row],[Resident Noncredit FTES]]</f>
        <v>484.18</v>
      </c>
      <c r="I12" s="78">
        <f>Table1[[#This Row],[Total Noncredit]]/Table1[[#This Row],[2018-19 Total FTES]]</f>
        <v>1.4741087165073198E-2</v>
      </c>
      <c r="J12" s="79">
        <f>Table1[[#This Row],[Resident Credit FTES]]+Table1[[#This Row],[NONResident Credit FTES2]]</f>
        <v>32361.43</v>
      </c>
      <c r="K12" s="77">
        <f>SUM(Table1[[#This Row],[Resident Credit FTES]:[NONResident Noncredit FTES3]])</f>
        <v>32845.610000000008</v>
      </c>
      <c r="L12" s="73">
        <f>Table1[[#This Row],[2018-19 Expense of Education*]]/Table1[[#This Row],[2018-19 Total FTES]]</f>
        <v>7746.0535517531853</v>
      </c>
      <c r="M12" s="69" t="s">
        <v>28</v>
      </c>
      <c r="O12" s="75" t="s">
        <v>145</v>
      </c>
    </row>
    <row r="13" spans="2:15" ht="15.75">
      <c r="B13" s="69" t="s">
        <v>71</v>
      </c>
      <c r="C13" s="106">
        <v>44525874</v>
      </c>
      <c r="D13" s="70">
        <v>4476.9399999999996</v>
      </c>
      <c r="E13" s="70">
        <v>17.25</v>
      </c>
      <c r="F13" s="70">
        <v>114.81</v>
      </c>
      <c r="G13" s="70">
        <v>22.16</v>
      </c>
      <c r="H13" s="70">
        <f>Table1[[#This Row],[NONResident Noncredit FTES3]]+Table1[[#This Row],[Resident Noncredit FTES]]</f>
        <v>39.409999999999997</v>
      </c>
      <c r="I13" s="71">
        <f>Table1[[#This Row],[Total Noncredit]]/Table1[[#This Row],[2018-19 Total FTES]]</f>
        <v>8.5097470180257213E-3</v>
      </c>
      <c r="J13" s="72">
        <f>Table1[[#This Row],[Resident Credit FTES]]+Table1[[#This Row],[NONResident Credit FTES2]]</f>
        <v>4591.75</v>
      </c>
      <c r="K13" s="70">
        <f>SUM(Table1[[#This Row],[Resident Credit FTES]:[NONResident Noncredit FTES3]])</f>
        <v>4631.16</v>
      </c>
      <c r="L13" s="73">
        <f>Table1[[#This Row],[2018-19 Expense of Education*]]/Table1[[#This Row],[2018-19 Total FTES]]</f>
        <v>9614.4106444173813</v>
      </c>
      <c r="M13" s="69" t="s">
        <v>28</v>
      </c>
      <c r="O13" s="74" t="s">
        <v>146</v>
      </c>
    </row>
    <row r="14" spans="2:15" ht="15.75">
      <c r="B14" s="69" t="s">
        <v>72</v>
      </c>
      <c r="C14" s="106">
        <v>224543001</v>
      </c>
      <c r="D14" s="77">
        <v>25187.94</v>
      </c>
      <c r="E14" s="77">
        <v>139.37</v>
      </c>
      <c r="F14" s="77">
        <v>1882.75</v>
      </c>
      <c r="G14" s="77">
        <v>0</v>
      </c>
      <c r="H14" s="77">
        <f>Table1[[#This Row],[NONResident Noncredit FTES3]]+Table1[[#This Row],[Resident Noncredit FTES]]</f>
        <v>139.37</v>
      </c>
      <c r="I14" s="78">
        <f>Table1[[#This Row],[Total Noncredit]]/Table1[[#This Row],[2018-19 Total FTES]]</f>
        <v>5.1220026710709207E-3</v>
      </c>
      <c r="J14" s="79">
        <f>Table1[[#This Row],[Resident Credit FTES]]+Table1[[#This Row],[NONResident Credit FTES2]]</f>
        <v>27070.69</v>
      </c>
      <c r="K14" s="77">
        <f>SUM(Table1[[#This Row],[Resident Credit FTES]:[NONResident Noncredit FTES3]])</f>
        <v>27210.059999999998</v>
      </c>
      <c r="L14" s="73">
        <f>Table1[[#This Row],[2018-19 Expense of Education*]]/Table1[[#This Row],[2018-19 Total FTES]]</f>
        <v>8252.2052873091798</v>
      </c>
      <c r="M14" s="69" t="s">
        <v>28</v>
      </c>
      <c r="O14" s="75" t="s">
        <v>147</v>
      </c>
    </row>
    <row r="15" spans="2:15" ht="15.75">
      <c r="B15" s="69" t="s">
        <v>73</v>
      </c>
      <c r="C15" s="106">
        <v>17669074</v>
      </c>
      <c r="D15" s="70">
        <v>1359.51</v>
      </c>
      <c r="E15" s="70">
        <v>89.04</v>
      </c>
      <c r="F15" s="70">
        <v>27.65</v>
      </c>
      <c r="G15" s="70">
        <v>6.28</v>
      </c>
      <c r="H15" s="70">
        <f>Table1[[#This Row],[NONResident Noncredit FTES3]]+Table1[[#This Row],[Resident Noncredit FTES]]</f>
        <v>95.320000000000007</v>
      </c>
      <c r="I15" s="71">
        <f>Table1[[#This Row],[Total Noncredit]]/Table1[[#This Row],[2018-19 Total FTES]]</f>
        <v>6.4297663374885336E-2</v>
      </c>
      <c r="J15" s="72">
        <f>Table1[[#This Row],[Resident Credit FTES]]+Table1[[#This Row],[NONResident Credit FTES2]]</f>
        <v>1387.16</v>
      </c>
      <c r="K15" s="70">
        <f>SUM(Table1[[#This Row],[Resident Credit FTES]:[NONResident Noncredit FTES3]])</f>
        <v>1482.48</v>
      </c>
      <c r="L15" s="73">
        <f>Table1[[#This Row],[2018-19 Expense of Education*]]/Table1[[#This Row],[2018-19 Total FTES]]</f>
        <v>11918.591819113917</v>
      </c>
      <c r="M15" s="69" t="s">
        <v>28</v>
      </c>
      <c r="O15" s="74" t="s">
        <v>148</v>
      </c>
    </row>
    <row r="16" spans="2:15" ht="15.75">
      <c r="B16" s="69" t="s">
        <v>74</v>
      </c>
      <c r="C16" s="106">
        <v>81553476</v>
      </c>
      <c r="D16" s="70">
        <v>8798.51</v>
      </c>
      <c r="E16" s="70">
        <v>1884.51</v>
      </c>
      <c r="F16" s="70">
        <v>269.31</v>
      </c>
      <c r="G16" s="70">
        <v>0</v>
      </c>
      <c r="H16" s="70">
        <f>Table1[[#This Row],[NONResident Noncredit FTES3]]+Table1[[#This Row],[Resident Noncredit FTES]]</f>
        <v>1884.51</v>
      </c>
      <c r="I16" s="71">
        <f>Table1[[#This Row],[Total Noncredit]]/Table1[[#This Row],[2018-19 Total FTES]]</f>
        <v>0.17206475699691298</v>
      </c>
      <c r="J16" s="72">
        <f>Table1[[#This Row],[Resident Credit FTES]]+Table1[[#This Row],[NONResident Credit FTES2]]</f>
        <v>9067.82</v>
      </c>
      <c r="K16" s="70">
        <f>SUM(Table1[[#This Row],[Resident Credit FTES]:[NONResident Noncredit FTES3]])</f>
        <v>10952.33</v>
      </c>
      <c r="L16" s="73">
        <f>Table1[[#This Row],[2018-19 Expense of Education*]]/Table1[[#This Row],[2018-19 Total FTES]]</f>
        <v>7446.2215802482215</v>
      </c>
      <c r="M16" s="69" t="s">
        <v>28</v>
      </c>
      <c r="O16" s="75" t="s">
        <v>149</v>
      </c>
    </row>
    <row r="17" spans="2:15" ht="15.75">
      <c r="B17" s="69" t="s">
        <v>75</v>
      </c>
      <c r="C17" s="106">
        <v>145208386</v>
      </c>
      <c r="D17" s="70">
        <v>18588.580000000002</v>
      </c>
      <c r="E17" s="70">
        <v>37.65</v>
      </c>
      <c r="F17" s="70">
        <v>940.19</v>
      </c>
      <c r="G17" s="70">
        <v>11.16</v>
      </c>
      <c r="H17" s="70">
        <f>Table1[[#This Row],[NONResident Noncredit FTES3]]+Table1[[#This Row],[Resident Noncredit FTES]]</f>
        <v>48.81</v>
      </c>
      <c r="I17" s="71">
        <f>Table1[[#This Row],[Total Noncredit]]/Table1[[#This Row],[2018-19 Total FTES]]</f>
        <v>2.4931579899047786E-3</v>
      </c>
      <c r="J17" s="72">
        <f>Table1[[#This Row],[Resident Credit FTES]]+Table1[[#This Row],[NONResident Credit FTES2]]</f>
        <v>19528.77</v>
      </c>
      <c r="K17" s="70">
        <f>SUM(Table1[[#This Row],[Resident Credit FTES]:[NONResident Noncredit FTES3]])</f>
        <v>19577.580000000002</v>
      </c>
      <c r="L17" s="73">
        <f>Table1[[#This Row],[2018-19 Expense of Education*]]/Table1[[#This Row],[2018-19 Total FTES]]</f>
        <v>7417.0753484342795</v>
      </c>
      <c r="M17" s="69" t="s">
        <v>28</v>
      </c>
      <c r="O17" s="74" t="s">
        <v>150</v>
      </c>
    </row>
    <row r="18" spans="2:15" ht="15.75">
      <c r="B18" s="69" t="s">
        <v>76</v>
      </c>
      <c r="C18" s="106">
        <v>18280874</v>
      </c>
      <c r="D18" s="70">
        <v>1709.5</v>
      </c>
      <c r="E18" s="70">
        <v>39.67</v>
      </c>
      <c r="F18" s="70">
        <v>312.64</v>
      </c>
      <c r="G18" s="70">
        <v>0</v>
      </c>
      <c r="H18" s="70">
        <f>Table1[[#This Row],[NONResident Noncredit FTES3]]+Table1[[#This Row],[Resident Noncredit FTES]]</f>
        <v>39.67</v>
      </c>
      <c r="I18" s="71">
        <f>Table1[[#This Row],[Total Noncredit]]/Table1[[#This Row],[2018-19 Total FTES]]</f>
        <v>1.9240376174332264E-2</v>
      </c>
      <c r="J18" s="72">
        <f>Table1[[#This Row],[Resident Credit FTES]]+Table1[[#This Row],[NONResident Credit FTES2]]</f>
        <v>2022.1399999999999</v>
      </c>
      <c r="K18" s="70">
        <f>SUM(Table1[[#This Row],[Resident Credit FTES]:[NONResident Noncredit FTES3]])</f>
        <v>2061.81</v>
      </c>
      <c r="L18" s="73">
        <f>Table1[[#This Row],[2018-19 Expense of Education*]]/Table1[[#This Row],[2018-19 Total FTES]]</f>
        <v>8866.4202812092299</v>
      </c>
      <c r="M18" s="69" t="s">
        <v>28</v>
      </c>
      <c r="O18" s="75" t="s">
        <v>151</v>
      </c>
    </row>
    <row r="19" spans="2:15" ht="15.75">
      <c r="B19" s="69" t="s">
        <v>77</v>
      </c>
      <c r="C19" s="106">
        <v>252580624</v>
      </c>
      <c r="D19" s="77">
        <v>22900.240000000002</v>
      </c>
      <c r="E19" s="77">
        <v>434.64</v>
      </c>
      <c r="F19" s="77">
        <v>4086.97</v>
      </c>
      <c r="G19" s="77">
        <v>0</v>
      </c>
      <c r="H19" s="77">
        <f>Table1[[#This Row],[NONResident Noncredit FTES3]]+Table1[[#This Row],[Resident Noncredit FTES]]</f>
        <v>434.64</v>
      </c>
      <c r="I19" s="78">
        <f>Table1[[#This Row],[Total Noncredit]]/Table1[[#This Row],[2018-19 Total FTES]]</f>
        <v>1.5850134108384369E-2</v>
      </c>
      <c r="J19" s="79">
        <f>Table1[[#This Row],[Resident Credit FTES]]+Table1[[#This Row],[NONResident Credit FTES2]]</f>
        <v>26987.210000000003</v>
      </c>
      <c r="K19" s="77">
        <f>SUM(Table1[[#This Row],[Resident Credit FTES]:[NONResident Noncredit FTES3]])</f>
        <v>27421.850000000002</v>
      </c>
      <c r="L19" s="73">
        <f>Table1[[#This Row],[2018-19 Expense of Education*]]/Table1[[#This Row],[2018-19 Total FTES]]</f>
        <v>9210.925739875318</v>
      </c>
      <c r="M19" s="69" t="s">
        <v>34</v>
      </c>
      <c r="O19" s="74" t="s">
        <v>152</v>
      </c>
    </row>
    <row r="20" spans="2:15" ht="15.75">
      <c r="B20" s="69" t="s">
        <v>120</v>
      </c>
      <c r="C20" s="106">
        <v>45883279</v>
      </c>
      <c r="D20" s="70">
        <v>4750.26</v>
      </c>
      <c r="E20" s="70">
        <v>602.41999999999996</v>
      </c>
      <c r="F20" s="70">
        <v>85.41</v>
      </c>
      <c r="G20" s="70">
        <v>0</v>
      </c>
      <c r="H20" s="70">
        <f>Table1[[#This Row],[NONResident Noncredit FTES3]]+Table1[[#This Row],[Resident Noncredit FTES]]</f>
        <v>602.41999999999996</v>
      </c>
      <c r="I20" s="71">
        <f>Table1[[#This Row],[Total Noncredit]]/Table1[[#This Row],[2018-19 Total FTES]]</f>
        <v>0.11077786502246192</v>
      </c>
      <c r="J20" s="72">
        <f>Table1[[#This Row],[Resident Credit FTES]]+Table1[[#This Row],[NONResident Credit FTES2]]</f>
        <v>4835.67</v>
      </c>
      <c r="K20" s="70">
        <f>SUM(Table1[[#This Row],[Resident Credit FTES]:[NONResident Noncredit FTES3]])</f>
        <v>5438.09</v>
      </c>
      <c r="L20" s="73">
        <f>Table1[[#This Row],[2018-19 Expense of Education*]]/Table1[[#This Row],[2018-19 Total FTES]]</f>
        <v>8437.3886787456631</v>
      </c>
      <c r="M20" s="69" t="s">
        <v>28</v>
      </c>
      <c r="O20" s="75" t="s">
        <v>153</v>
      </c>
    </row>
    <row r="21" spans="2:15" ht="15.75">
      <c r="B21" s="69" t="s">
        <v>78</v>
      </c>
      <c r="C21" s="106">
        <v>122614806</v>
      </c>
      <c r="D21" s="70">
        <v>11201.93</v>
      </c>
      <c r="E21" s="70">
        <v>2646.66</v>
      </c>
      <c r="F21" s="70">
        <v>696.55</v>
      </c>
      <c r="G21" s="70">
        <v>0</v>
      </c>
      <c r="H21" s="70">
        <f>Table1[[#This Row],[NONResident Noncredit FTES3]]+Table1[[#This Row],[Resident Noncredit FTES]]</f>
        <v>2646.66</v>
      </c>
      <c r="I21" s="71">
        <f>Table1[[#This Row],[Total Noncredit]]/Table1[[#This Row],[2018-19 Total FTES]]</f>
        <v>0.1819618099241396</v>
      </c>
      <c r="J21" s="72">
        <f>Table1[[#This Row],[Resident Credit FTES]]+Table1[[#This Row],[NONResident Credit FTES2]]</f>
        <v>11898.48</v>
      </c>
      <c r="K21" s="70">
        <f>SUM(Table1[[#This Row],[Resident Credit FTES]:[NONResident Noncredit FTES3]])</f>
        <v>14545.14</v>
      </c>
      <c r="L21" s="73">
        <f>Table1[[#This Row],[2018-19 Expense of Education*]]/Table1[[#This Row],[2018-19 Total FTES]]</f>
        <v>8429.950210173296</v>
      </c>
      <c r="M21" s="69" t="s">
        <v>28</v>
      </c>
      <c r="O21" s="74" t="s">
        <v>154</v>
      </c>
    </row>
    <row r="22" spans="2:15" ht="15.75">
      <c r="B22" s="69" t="s">
        <v>79</v>
      </c>
      <c r="C22" s="106">
        <v>185194269</v>
      </c>
      <c r="D22" s="77">
        <v>17679.96</v>
      </c>
      <c r="E22" s="77">
        <v>16.87</v>
      </c>
      <c r="F22" s="77">
        <v>774.32</v>
      </c>
      <c r="G22" s="77">
        <v>0</v>
      </c>
      <c r="H22" s="77">
        <f>Table1[[#This Row],[NONResident Noncredit FTES3]]+Table1[[#This Row],[Resident Noncredit FTES]]</f>
        <v>16.87</v>
      </c>
      <c r="I22" s="78">
        <f>Table1[[#This Row],[Total Noncredit]]/Table1[[#This Row],[2018-19 Total FTES]]</f>
        <v>9.1331617143491353E-4</v>
      </c>
      <c r="J22" s="79">
        <f>Table1[[#This Row],[Resident Credit FTES]]+Table1[[#This Row],[NONResident Credit FTES2]]</f>
        <v>18454.28</v>
      </c>
      <c r="K22" s="77">
        <f>SUM(Table1[[#This Row],[Resident Credit FTES]:[NONResident Noncredit FTES3]])</f>
        <v>18471.149999999998</v>
      </c>
      <c r="L22" s="73">
        <f>Table1[[#This Row],[2018-19 Expense of Education*]]/Table1[[#This Row],[2018-19 Total FTES]]</f>
        <v>10026.136380247035</v>
      </c>
      <c r="M22" s="69" t="s">
        <v>28</v>
      </c>
      <c r="O22" s="75" t="s">
        <v>155</v>
      </c>
    </row>
    <row r="23" spans="2:15" ht="15.75">
      <c r="B23" s="69" t="s">
        <v>80</v>
      </c>
      <c r="C23" s="106">
        <v>60876732</v>
      </c>
      <c r="D23" s="70">
        <v>7315.5</v>
      </c>
      <c r="E23" s="70">
        <v>22.19</v>
      </c>
      <c r="F23" s="70">
        <v>55.93</v>
      </c>
      <c r="G23" s="70">
        <v>10.54</v>
      </c>
      <c r="H23" s="70">
        <f>Table1[[#This Row],[NONResident Noncredit FTES3]]+Table1[[#This Row],[Resident Noncredit FTES]]</f>
        <v>32.730000000000004</v>
      </c>
      <c r="I23" s="71">
        <f>Table1[[#This Row],[Total Noncredit]]/Table1[[#This Row],[2018-19 Total FTES]]</f>
        <v>4.4204879419137352E-3</v>
      </c>
      <c r="J23" s="72">
        <f>Table1[[#This Row],[Resident Credit FTES]]+Table1[[#This Row],[NONResident Credit FTES2]]</f>
        <v>7371.43</v>
      </c>
      <c r="K23" s="70">
        <f>SUM(Table1[[#This Row],[Resident Credit FTES]:[NONResident Noncredit FTES3]])</f>
        <v>7404.16</v>
      </c>
      <c r="L23" s="73">
        <f>Table1[[#This Row],[2018-19 Expense of Education*]]/Table1[[#This Row],[2018-19 Total FTES]]</f>
        <v>8221.9633287233119</v>
      </c>
      <c r="M23" s="69" t="s">
        <v>28</v>
      </c>
      <c r="O23" s="74" t="s">
        <v>156</v>
      </c>
    </row>
    <row r="24" spans="2:15" ht="15.75">
      <c r="B24" s="69" t="s">
        <v>81</v>
      </c>
      <c r="C24" s="106">
        <v>57723393</v>
      </c>
      <c r="D24" s="70">
        <v>7395.71</v>
      </c>
      <c r="E24" s="70">
        <v>54.29</v>
      </c>
      <c r="F24" s="70">
        <v>57.71</v>
      </c>
      <c r="G24" s="70">
        <v>9.52</v>
      </c>
      <c r="H24" s="70">
        <f>Table1[[#This Row],[NONResident Noncredit FTES3]]+Table1[[#This Row],[Resident Noncredit FTES]]</f>
        <v>63.81</v>
      </c>
      <c r="I24" s="71">
        <f>Table1[[#This Row],[Total Noncredit]]/Table1[[#This Row],[2018-19 Total FTES]]</f>
        <v>8.4884990880949498E-3</v>
      </c>
      <c r="J24" s="72">
        <f>Table1[[#This Row],[Resident Credit FTES]]+Table1[[#This Row],[NONResident Credit FTES2]]</f>
        <v>7453.42</v>
      </c>
      <c r="K24" s="70">
        <f>SUM(Table1[[#This Row],[Resident Credit FTES]:[NONResident Noncredit FTES3]])</f>
        <v>7517.2300000000005</v>
      </c>
      <c r="L24" s="73">
        <f>Table1[[#This Row],[2018-19 Expense of Education*]]/Table1[[#This Row],[2018-19 Total FTES]]</f>
        <v>7678.8116101276664</v>
      </c>
      <c r="M24" s="69" t="s">
        <v>28</v>
      </c>
      <c r="O24" s="75" t="s">
        <v>157</v>
      </c>
    </row>
    <row r="25" spans="2:15" ht="15.75">
      <c r="B25" s="69" t="s">
        <v>82</v>
      </c>
      <c r="C25" s="106">
        <v>178304281</v>
      </c>
      <c r="D25" s="77">
        <v>21436.61</v>
      </c>
      <c r="E25" s="77">
        <v>117.78</v>
      </c>
      <c r="F25" s="77">
        <v>268.33</v>
      </c>
      <c r="G25" s="77">
        <v>24.61</v>
      </c>
      <c r="H25" s="77">
        <f>Table1[[#This Row],[NONResident Noncredit FTES3]]+Table1[[#This Row],[Resident Noncredit FTES]]</f>
        <v>142.38999999999999</v>
      </c>
      <c r="I25" s="78">
        <f>Table1[[#This Row],[Total Noncredit]]/Table1[[#This Row],[2018-19 Total FTES]]</f>
        <v>6.5175012232616056E-3</v>
      </c>
      <c r="J25" s="79">
        <f>Table1[[#This Row],[Resident Credit FTES]]+Table1[[#This Row],[NONResident Credit FTES2]]</f>
        <v>21704.940000000002</v>
      </c>
      <c r="K25" s="77">
        <f>SUM(Table1[[#This Row],[Resident Credit FTES]:[NONResident Noncredit FTES3]])</f>
        <v>21847.33</v>
      </c>
      <c r="L25" s="73">
        <f>Table1[[#This Row],[2018-19 Expense of Education*]]/Table1[[#This Row],[2018-19 Total FTES]]</f>
        <v>8161.3762871710178</v>
      </c>
      <c r="M25" s="69" t="s">
        <v>28</v>
      </c>
      <c r="O25" s="74" t="s">
        <v>158</v>
      </c>
    </row>
    <row r="26" spans="2:15" ht="15.75">
      <c r="B26" s="69" t="s">
        <v>83</v>
      </c>
      <c r="C26" s="106">
        <v>18862814</v>
      </c>
      <c r="D26" s="70">
        <v>1823.82</v>
      </c>
      <c r="E26" s="70">
        <v>83.25</v>
      </c>
      <c r="F26" s="70">
        <v>96.21</v>
      </c>
      <c r="G26" s="70">
        <v>0</v>
      </c>
      <c r="H26" s="70">
        <f>Table1[[#This Row],[NONResident Noncredit FTES3]]+Table1[[#This Row],[Resident Noncredit FTES]]</f>
        <v>83.25</v>
      </c>
      <c r="I26" s="71">
        <f>Table1[[#This Row],[Total Noncredit]]/Table1[[#This Row],[2018-19 Total FTES]]</f>
        <v>4.1556846771295078E-2</v>
      </c>
      <c r="J26" s="72">
        <f>Table1[[#This Row],[Resident Credit FTES]]+Table1[[#This Row],[NONResident Credit FTES2]]</f>
        <v>1920.03</v>
      </c>
      <c r="K26" s="70">
        <f>SUM(Table1[[#This Row],[Resident Credit FTES]:[NONResident Noncredit FTES3]])</f>
        <v>2003.28</v>
      </c>
      <c r="L26" s="73">
        <f>Table1[[#This Row],[2018-19 Expense of Education*]]/Table1[[#This Row],[2018-19 Total FTES]]</f>
        <v>9415.964817698974</v>
      </c>
      <c r="M26" s="69" t="s">
        <v>34</v>
      </c>
      <c r="O26" s="75" t="s">
        <v>159</v>
      </c>
    </row>
    <row r="27" spans="2:15" ht="15.75">
      <c r="B27" s="69" t="s">
        <v>84</v>
      </c>
      <c r="C27" s="106">
        <v>18045482</v>
      </c>
      <c r="D27" s="70">
        <v>1665</v>
      </c>
      <c r="E27" s="70">
        <v>20.16</v>
      </c>
      <c r="F27" s="70">
        <v>148.6</v>
      </c>
      <c r="G27" s="70">
        <v>9.2100000000000009</v>
      </c>
      <c r="H27" s="70">
        <f>Table1[[#This Row],[NONResident Noncredit FTES3]]+Table1[[#This Row],[Resident Noncredit FTES]]</f>
        <v>29.37</v>
      </c>
      <c r="I27" s="71">
        <f>Table1[[#This Row],[Total Noncredit]]/Table1[[#This Row],[2018-19 Total FTES]]</f>
        <v>1.5936233362452996E-2</v>
      </c>
      <c r="J27" s="72">
        <f>Table1[[#This Row],[Resident Credit FTES]]+Table1[[#This Row],[NONResident Credit FTES2]]</f>
        <v>1813.6</v>
      </c>
      <c r="K27" s="70">
        <f>SUM(Table1[[#This Row],[Resident Credit FTES]:[NONResident Noncredit FTES3]])</f>
        <v>1842.97</v>
      </c>
      <c r="L27" s="73">
        <f>Table1[[#This Row],[2018-19 Expense of Education*]]/Table1[[#This Row],[2018-19 Total FTES]]</f>
        <v>9791.5223796372156</v>
      </c>
      <c r="M27" s="69" t="s">
        <v>28</v>
      </c>
      <c r="O27" s="74" t="s">
        <v>160</v>
      </c>
    </row>
    <row r="28" spans="2:15" ht="15.75">
      <c r="B28" s="69" t="s">
        <v>85</v>
      </c>
      <c r="C28" s="106">
        <v>145668001</v>
      </c>
      <c r="D28" s="70">
        <v>19039.11</v>
      </c>
      <c r="E28" s="70">
        <v>477.74</v>
      </c>
      <c r="F28" s="70">
        <v>302.32</v>
      </c>
      <c r="G28" s="70">
        <v>0</v>
      </c>
      <c r="H28" s="70">
        <f>Table1[[#This Row],[NONResident Noncredit FTES3]]+Table1[[#This Row],[Resident Noncredit FTES]]</f>
        <v>477.74</v>
      </c>
      <c r="I28" s="71">
        <f>Table1[[#This Row],[Total Noncredit]]/Table1[[#This Row],[2018-19 Total FTES]]</f>
        <v>2.4104944858942122E-2</v>
      </c>
      <c r="J28" s="72">
        <f>Table1[[#This Row],[Resident Credit FTES]]+Table1[[#This Row],[NONResident Credit FTES2]]</f>
        <v>19341.43</v>
      </c>
      <c r="K28" s="70">
        <f>SUM(Table1[[#This Row],[Resident Credit FTES]:[NONResident Noncredit FTES3]])</f>
        <v>19819.170000000002</v>
      </c>
      <c r="L28" s="73">
        <f>Table1[[#This Row],[2018-19 Expense of Education*]]/Table1[[#This Row],[2018-19 Total FTES]]</f>
        <v>7349.8537527050821</v>
      </c>
      <c r="M28" s="69" t="s">
        <v>28</v>
      </c>
      <c r="O28" s="75" t="s">
        <v>161</v>
      </c>
    </row>
    <row r="29" spans="2:15" ht="15.75">
      <c r="B29" s="69" t="s">
        <v>86</v>
      </c>
      <c r="C29" s="106">
        <v>819384394</v>
      </c>
      <c r="D29" s="77">
        <v>90986.46</v>
      </c>
      <c r="E29" s="77">
        <v>7152.73</v>
      </c>
      <c r="F29" s="77">
        <v>2909.96</v>
      </c>
      <c r="G29" s="77">
        <v>0</v>
      </c>
      <c r="H29" s="77">
        <f>Table1[[#This Row],[NONResident Noncredit FTES3]]+Table1[[#This Row],[Resident Noncredit FTES]]</f>
        <v>7152.73</v>
      </c>
      <c r="I29" s="78">
        <f>Table1[[#This Row],[Total Noncredit]]/Table1[[#This Row],[2018-19 Total FTES]]</f>
        <v>7.0784662711165791E-2</v>
      </c>
      <c r="J29" s="79">
        <f>Table1[[#This Row],[Resident Credit FTES]]+Table1[[#This Row],[NONResident Credit FTES2]]</f>
        <v>93896.420000000013</v>
      </c>
      <c r="K29" s="77">
        <f>SUM(Table1[[#This Row],[Resident Credit FTES]:[NONResident Noncredit FTES3]])</f>
        <v>101049.15000000001</v>
      </c>
      <c r="L29" s="73">
        <f>Table1[[#This Row],[2018-19 Expense of Education*]]/Table1[[#This Row],[2018-19 Total FTES]]</f>
        <v>8108.7707714513181</v>
      </c>
      <c r="M29" s="69" t="s">
        <v>28</v>
      </c>
      <c r="O29" s="74" t="s">
        <v>162</v>
      </c>
    </row>
    <row r="30" spans="2:15" ht="15.75">
      <c r="B30" s="69" t="s">
        <v>87</v>
      </c>
      <c r="C30" s="106">
        <v>416676180</v>
      </c>
      <c r="D30" s="77">
        <v>50983.77</v>
      </c>
      <c r="E30" s="77">
        <v>182.95</v>
      </c>
      <c r="F30" s="77">
        <v>830.19</v>
      </c>
      <c r="G30" s="77">
        <v>10.64</v>
      </c>
      <c r="H30" s="77">
        <f>Table1[[#This Row],[NONResident Noncredit FTES3]]+Table1[[#This Row],[Resident Noncredit FTES]]</f>
        <v>193.58999999999997</v>
      </c>
      <c r="I30" s="78">
        <f>Table1[[#This Row],[Total Noncredit]]/Table1[[#This Row],[2018-19 Total FTES]]</f>
        <v>3.7223441596460514E-3</v>
      </c>
      <c r="J30" s="79">
        <f>Table1[[#This Row],[Resident Credit FTES]]+Table1[[#This Row],[NONResident Credit FTES2]]</f>
        <v>51813.96</v>
      </c>
      <c r="K30" s="77">
        <f>SUM(Table1[[#This Row],[Resident Credit FTES]:[NONResident Noncredit FTES3]])</f>
        <v>52007.549999999996</v>
      </c>
      <c r="L30" s="73">
        <f>Table1[[#This Row],[2018-19 Expense of Education*]]/Table1[[#This Row],[2018-19 Total FTES]]</f>
        <v>8011.840203970386</v>
      </c>
      <c r="M30" s="69" t="s">
        <v>28</v>
      </c>
      <c r="O30" s="75" t="s">
        <v>163</v>
      </c>
    </row>
    <row r="31" spans="2:15" ht="15.75">
      <c r="B31" s="69" t="s">
        <v>88</v>
      </c>
      <c r="C31" s="106">
        <v>66682923</v>
      </c>
      <c r="D31" s="70">
        <v>3121.68</v>
      </c>
      <c r="E31" s="70">
        <v>290.37</v>
      </c>
      <c r="F31" s="70">
        <v>400.26</v>
      </c>
      <c r="G31" s="70">
        <v>0</v>
      </c>
      <c r="H31" s="70">
        <f>Table1[[#This Row],[NONResident Noncredit FTES3]]+Table1[[#This Row],[Resident Noncredit FTES]]</f>
        <v>290.37</v>
      </c>
      <c r="I31" s="71">
        <f>Table1[[#This Row],[Total Noncredit]]/Table1[[#This Row],[2018-19 Total FTES]]</f>
        <v>7.6166418785460793E-2</v>
      </c>
      <c r="J31" s="72">
        <f>Table1[[#This Row],[Resident Credit FTES]]+Table1[[#This Row],[NONResident Credit FTES2]]</f>
        <v>3521.9399999999996</v>
      </c>
      <c r="K31" s="70">
        <f>SUM(Table1[[#This Row],[Resident Credit FTES]:[NONResident Noncredit FTES3]])</f>
        <v>3812.3099999999995</v>
      </c>
      <c r="L31" s="73">
        <f>Table1[[#This Row],[2018-19 Expense of Education*]]/Table1[[#This Row],[2018-19 Total FTES]]</f>
        <v>17491.474460366553</v>
      </c>
      <c r="M31" s="69" t="s">
        <v>28</v>
      </c>
      <c r="O31" s="74" t="s">
        <v>164</v>
      </c>
    </row>
    <row r="32" spans="2:15" ht="15.75">
      <c r="B32" s="69" t="s">
        <v>89</v>
      </c>
      <c r="C32" s="106">
        <v>30559690</v>
      </c>
      <c r="D32" s="70">
        <v>2660.98</v>
      </c>
      <c r="E32" s="70">
        <v>99.1</v>
      </c>
      <c r="F32" s="70">
        <v>62.9</v>
      </c>
      <c r="G32" s="70">
        <v>0</v>
      </c>
      <c r="H32" s="70">
        <f>Table1[[#This Row],[NONResident Noncredit FTES3]]+Table1[[#This Row],[Resident Noncredit FTES]]</f>
        <v>99.1</v>
      </c>
      <c r="I32" s="71">
        <f>Table1[[#This Row],[Total Noncredit]]/Table1[[#This Row],[2018-19 Total FTES]]</f>
        <v>3.5104747465444314E-2</v>
      </c>
      <c r="J32" s="72">
        <f>Table1[[#This Row],[Resident Credit FTES]]+Table1[[#This Row],[NONResident Credit FTES2]]</f>
        <v>2723.88</v>
      </c>
      <c r="K32" s="70">
        <f>SUM(Table1[[#This Row],[Resident Credit FTES]:[NONResident Noncredit FTES3]])</f>
        <v>2822.98</v>
      </c>
      <c r="L32" s="73">
        <f>Table1[[#This Row],[2018-19 Expense of Education*]]/Table1[[#This Row],[2018-19 Total FTES]]</f>
        <v>10825.329970456751</v>
      </c>
      <c r="M32" s="69" t="s">
        <v>28</v>
      </c>
      <c r="O32" s="75" t="s">
        <v>165</v>
      </c>
    </row>
    <row r="33" spans="2:15" ht="15.75">
      <c r="B33" s="69" t="s">
        <v>90</v>
      </c>
      <c r="C33" s="106">
        <v>74777709</v>
      </c>
      <c r="D33" s="70">
        <v>9073.91</v>
      </c>
      <c r="E33" s="70">
        <v>964.27</v>
      </c>
      <c r="F33" s="70">
        <v>200.49</v>
      </c>
      <c r="G33" s="70">
        <v>0</v>
      </c>
      <c r="H33" s="70">
        <f>Table1[[#This Row],[NONResident Noncredit FTES3]]+Table1[[#This Row],[Resident Noncredit FTES]]</f>
        <v>964.27</v>
      </c>
      <c r="I33" s="71">
        <f>Table1[[#This Row],[Total Noncredit]]/Table1[[#This Row],[2018-19 Total FTES]]</f>
        <v>9.4179224450050641E-2</v>
      </c>
      <c r="J33" s="72">
        <f>Table1[[#This Row],[Resident Credit FTES]]+Table1[[#This Row],[NONResident Credit FTES2]]</f>
        <v>9274.4</v>
      </c>
      <c r="K33" s="70">
        <f>SUM(Table1[[#This Row],[Resident Credit FTES]:[NONResident Noncredit FTES3]])</f>
        <v>10238.67</v>
      </c>
      <c r="L33" s="73">
        <f>Table1[[#This Row],[2018-19 Expense of Education*]]/Table1[[#This Row],[2018-19 Total FTES]]</f>
        <v>7303.4592383581066</v>
      </c>
      <c r="M33" s="69" t="s">
        <v>28</v>
      </c>
      <c r="O33" s="74" t="s">
        <v>166</v>
      </c>
    </row>
    <row r="34" spans="2:15" ht="15.75">
      <c r="B34" s="69" t="s">
        <v>91</v>
      </c>
      <c r="C34" s="106">
        <v>125387902</v>
      </c>
      <c r="D34" s="70">
        <v>9503.7900000000009</v>
      </c>
      <c r="E34" s="70">
        <v>725.46</v>
      </c>
      <c r="F34" s="70">
        <v>330.59</v>
      </c>
      <c r="G34" s="70">
        <v>0</v>
      </c>
      <c r="H34" s="70">
        <f>Table1[[#This Row],[NONResident Noncredit FTES3]]+Table1[[#This Row],[Resident Noncredit FTES]]</f>
        <v>725.46</v>
      </c>
      <c r="I34" s="71">
        <f>Table1[[#This Row],[Total Noncredit]]/Table1[[#This Row],[2018-19 Total FTES]]</f>
        <v>6.8699904544008247E-2</v>
      </c>
      <c r="J34" s="72">
        <f>Table1[[#This Row],[Resident Credit FTES]]+Table1[[#This Row],[NONResident Credit FTES2]]</f>
        <v>9834.380000000001</v>
      </c>
      <c r="K34" s="70">
        <f>SUM(Table1[[#This Row],[Resident Credit FTES]:[NONResident Noncredit FTES3]])</f>
        <v>10559.84</v>
      </c>
      <c r="L34" s="73">
        <f>Table1[[#This Row],[2018-19 Expense of Education*]]/Table1[[#This Row],[2018-19 Total FTES]]</f>
        <v>11874.034265670693</v>
      </c>
      <c r="M34" s="69" t="s">
        <v>28</v>
      </c>
      <c r="O34" s="75" t="s">
        <v>167</v>
      </c>
    </row>
    <row r="35" spans="2:15" ht="15.75">
      <c r="B35" s="69" t="s">
        <v>92</v>
      </c>
      <c r="C35" s="106">
        <v>51857194</v>
      </c>
      <c r="D35" s="70">
        <v>5873.93</v>
      </c>
      <c r="E35" s="70">
        <v>284.2</v>
      </c>
      <c r="F35" s="70">
        <v>175.27</v>
      </c>
      <c r="G35" s="70">
        <v>0</v>
      </c>
      <c r="H35" s="70">
        <f>Table1[[#This Row],[NONResident Noncredit FTES3]]+Table1[[#This Row],[Resident Noncredit FTES]]</f>
        <v>284.2</v>
      </c>
      <c r="I35" s="71">
        <f>Table1[[#This Row],[Total Noncredit]]/Table1[[#This Row],[2018-19 Total FTES]]</f>
        <v>4.4873211860927777E-2</v>
      </c>
      <c r="J35" s="72">
        <f>Table1[[#This Row],[Resident Credit FTES]]+Table1[[#This Row],[NONResident Credit FTES2]]</f>
        <v>6049.2000000000007</v>
      </c>
      <c r="K35" s="70">
        <f>SUM(Table1[[#This Row],[Resident Credit FTES]:[NONResident Noncredit FTES3]])</f>
        <v>6333.4000000000005</v>
      </c>
      <c r="L35" s="73">
        <f>Table1[[#This Row],[2018-19 Expense of Education*]]/Table1[[#This Row],[2018-19 Total FTES]]</f>
        <v>8187.8918116651394</v>
      </c>
      <c r="M35" s="69" t="s">
        <v>28</v>
      </c>
      <c r="O35" s="74" t="s">
        <v>168</v>
      </c>
    </row>
    <row r="36" spans="2:15" ht="15.75">
      <c r="B36" s="69" t="s">
        <v>95</v>
      </c>
      <c r="C36" s="106">
        <v>227003616</v>
      </c>
      <c r="D36" s="70">
        <v>24783.08</v>
      </c>
      <c r="E36" s="70">
        <v>7910.97</v>
      </c>
      <c r="F36" s="70">
        <v>796.95</v>
      </c>
      <c r="G36" s="70">
        <v>0</v>
      </c>
      <c r="H36" s="70">
        <f>Table1[[#This Row],[NONResident Noncredit FTES3]]+Table1[[#This Row],[Resident Noncredit FTES]]</f>
        <v>7910.97</v>
      </c>
      <c r="I36" s="71">
        <f>Table1[[#This Row],[Total Noncredit]]/Table1[[#This Row],[2018-19 Total FTES]]</f>
        <v>0.23621181810038519</v>
      </c>
      <c r="J36" s="72">
        <f>Table1[[#This Row],[Resident Credit FTES]]+Table1[[#This Row],[NONResident Credit FTES2]]</f>
        <v>25580.030000000002</v>
      </c>
      <c r="K36" s="70">
        <f>SUM(Table1[[#This Row],[Resident Credit FTES]:[NONResident Noncredit FTES3]])</f>
        <v>33491</v>
      </c>
      <c r="L36" s="73">
        <f>Table1[[#This Row],[2018-19 Expense of Education*]]/Table1[[#This Row],[2018-19 Total FTES]]</f>
        <v>6778.0483114866684</v>
      </c>
      <c r="M36" s="69" t="s">
        <v>28</v>
      </c>
      <c r="O36" s="75" t="s">
        <v>169</v>
      </c>
    </row>
    <row r="37" spans="2:15" ht="15.75">
      <c r="B37" s="69" t="s">
        <v>96</v>
      </c>
      <c r="C37" s="106">
        <v>87439112</v>
      </c>
      <c r="D37" s="70">
        <v>11474.73</v>
      </c>
      <c r="E37" s="70">
        <v>557.1</v>
      </c>
      <c r="F37" s="70">
        <v>67.260000000000005</v>
      </c>
      <c r="G37" s="70">
        <v>0</v>
      </c>
      <c r="H37" s="70">
        <f>Table1[[#This Row],[NONResident Noncredit FTES3]]+Table1[[#This Row],[Resident Noncredit FTES]]</f>
        <v>557.1</v>
      </c>
      <c r="I37" s="71">
        <f>Table1[[#This Row],[Total Noncredit]]/Table1[[#This Row],[2018-19 Total FTES]]</f>
        <v>4.6044785186323933E-2</v>
      </c>
      <c r="J37" s="72">
        <f>Table1[[#This Row],[Resident Credit FTES]]+Table1[[#This Row],[NONResident Credit FTES2]]</f>
        <v>11541.99</v>
      </c>
      <c r="K37" s="70">
        <f>SUM(Table1[[#This Row],[Resident Credit FTES]:[NONResident Noncredit FTES3]])</f>
        <v>12099.09</v>
      </c>
      <c r="L37" s="73">
        <f>Table1[[#This Row],[2018-19 Expense of Education*]]/Table1[[#This Row],[2018-19 Total FTES]]</f>
        <v>7226.9164044568643</v>
      </c>
      <c r="M37" s="69" t="s">
        <v>28</v>
      </c>
      <c r="O37" s="74" t="s">
        <v>170</v>
      </c>
    </row>
    <row r="38" spans="2:15" ht="15.75">
      <c r="B38" s="69" t="s">
        <v>97</v>
      </c>
      <c r="C38" s="106">
        <v>46267037</v>
      </c>
      <c r="D38" s="70">
        <v>4353.88</v>
      </c>
      <c r="E38" s="70">
        <v>412.7</v>
      </c>
      <c r="F38" s="70">
        <v>72.760000000000005</v>
      </c>
      <c r="G38" s="70">
        <v>46.61</v>
      </c>
      <c r="H38" s="70">
        <f>Table1[[#This Row],[NONResident Noncredit FTES3]]+Table1[[#This Row],[Resident Noncredit FTES]]</f>
        <v>459.31</v>
      </c>
      <c r="I38" s="71">
        <f>Table1[[#This Row],[Total Noncredit]]/Table1[[#This Row],[2018-19 Total FTES]]</f>
        <v>9.4006283322588244E-2</v>
      </c>
      <c r="J38" s="72">
        <f>Table1[[#This Row],[Resident Credit FTES]]+Table1[[#This Row],[NONResident Credit FTES2]]</f>
        <v>4426.6400000000003</v>
      </c>
      <c r="K38" s="70">
        <f>SUM(Table1[[#This Row],[Resident Credit FTES]:[NONResident Noncredit FTES3]])</f>
        <v>4885.95</v>
      </c>
      <c r="L38" s="73">
        <f>Table1[[#This Row],[2018-19 Expense of Education*]]/Table1[[#This Row],[2018-19 Total FTES]]</f>
        <v>9469.4045170335357</v>
      </c>
      <c r="M38" s="69" t="s">
        <v>28</v>
      </c>
      <c r="O38" s="75" t="s">
        <v>171</v>
      </c>
    </row>
    <row r="39" spans="2:15" ht="15.75">
      <c r="B39" s="69" t="s">
        <v>98</v>
      </c>
      <c r="C39" s="106">
        <v>257771890</v>
      </c>
      <c r="D39" s="77">
        <v>28119.51</v>
      </c>
      <c r="E39" s="77">
        <v>5238.55</v>
      </c>
      <c r="F39" s="77">
        <v>788.44</v>
      </c>
      <c r="G39" s="77">
        <v>0</v>
      </c>
      <c r="H39" s="77">
        <f>Table1[[#This Row],[NONResident Noncredit FTES3]]+Table1[[#This Row],[Resident Noncredit FTES]]</f>
        <v>5238.55</v>
      </c>
      <c r="I39" s="78">
        <f>Table1[[#This Row],[Total Noncredit]]/Table1[[#This Row],[2018-19 Total FTES]]</f>
        <v>0.15341396629229936</v>
      </c>
      <c r="J39" s="79">
        <f>Table1[[#This Row],[Resident Credit FTES]]+Table1[[#This Row],[NONResident Credit FTES2]]</f>
        <v>28907.949999999997</v>
      </c>
      <c r="K39" s="77">
        <f>SUM(Table1[[#This Row],[Resident Credit FTES]:[NONResident Noncredit FTES3]])</f>
        <v>34146.5</v>
      </c>
      <c r="L39" s="73">
        <f>Table1[[#This Row],[2018-19 Expense of Education*]]/Table1[[#This Row],[2018-19 Total FTES]]</f>
        <v>7548.9988725052344</v>
      </c>
      <c r="M39" s="69" t="s">
        <v>28</v>
      </c>
      <c r="O39" s="74" t="s">
        <v>172</v>
      </c>
    </row>
    <row r="40" spans="2:15" ht="15.75">
      <c r="B40" s="69" t="s">
        <v>99</v>
      </c>
      <c r="C40" s="106">
        <v>66100418</v>
      </c>
      <c r="D40" s="70">
        <v>7344.4</v>
      </c>
      <c r="E40" s="70">
        <v>2.71</v>
      </c>
      <c r="F40" s="70">
        <v>632.24</v>
      </c>
      <c r="G40" s="70">
        <v>0</v>
      </c>
      <c r="H40" s="70">
        <f>Table1[[#This Row],[NONResident Noncredit FTES3]]+Table1[[#This Row],[Resident Noncredit FTES]]</f>
        <v>2.71</v>
      </c>
      <c r="I40" s="71">
        <f>Table1[[#This Row],[Total Noncredit]]/Table1[[#This Row],[2018-19 Total FTES]]</f>
        <v>3.3962666131953108E-4</v>
      </c>
      <c r="J40" s="72">
        <f>Table1[[#This Row],[Resident Credit FTES]]+Table1[[#This Row],[NONResident Credit FTES2]]</f>
        <v>7976.6399999999994</v>
      </c>
      <c r="K40" s="70">
        <f>SUM(Table1[[#This Row],[Resident Credit FTES]:[NONResident Noncredit FTES3]])</f>
        <v>7979.3499999999995</v>
      </c>
      <c r="L40" s="73">
        <f>Table1[[#This Row],[2018-19 Expense of Education*]]/Table1[[#This Row],[2018-19 Total FTES]]</f>
        <v>8283.9351576256213</v>
      </c>
      <c r="M40" s="69" t="s">
        <v>28</v>
      </c>
      <c r="O40" s="75" t="s">
        <v>173</v>
      </c>
    </row>
    <row r="41" spans="2:15" ht="15.75">
      <c r="B41" s="69" t="s">
        <v>100</v>
      </c>
      <c r="C41" s="106">
        <v>18966972</v>
      </c>
      <c r="D41" s="70">
        <v>2078.35</v>
      </c>
      <c r="E41" s="70">
        <v>24.62</v>
      </c>
      <c r="F41" s="70">
        <v>22.81</v>
      </c>
      <c r="G41" s="70">
        <v>0.33</v>
      </c>
      <c r="H41" s="70">
        <f>Table1[[#This Row],[NONResident Noncredit FTES3]]+Table1[[#This Row],[Resident Noncredit FTES]]</f>
        <v>24.95</v>
      </c>
      <c r="I41" s="71">
        <f>Table1[[#This Row],[Total Noncredit]]/Table1[[#This Row],[2018-19 Total FTES]]</f>
        <v>1.1735046634463881E-2</v>
      </c>
      <c r="J41" s="72">
        <f>Table1[[#This Row],[Resident Credit FTES]]+Table1[[#This Row],[NONResident Credit FTES2]]</f>
        <v>2101.16</v>
      </c>
      <c r="K41" s="70">
        <f>SUM(Table1[[#This Row],[Resident Credit FTES]:[NONResident Noncredit FTES3]])</f>
        <v>2126.1099999999997</v>
      </c>
      <c r="L41" s="73">
        <f>Table1[[#This Row],[2018-19 Expense of Education*]]/Table1[[#This Row],[2018-19 Total FTES]]</f>
        <v>8920.9739853535339</v>
      </c>
      <c r="M41" s="69" t="s">
        <v>28</v>
      </c>
      <c r="O41" s="74" t="s">
        <v>174</v>
      </c>
    </row>
    <row r="42" spans="2:15" ht="15.75">
      <c r="B42" s="69" t="s">
        <v>101</v>
      </c>
      <c r="C42" s="106">
        <v>159034580</v>
      </c>
      <c r="D42" s="70">
        <v>17276.689999999999</v>
      </c>
      <c r="E42" s="70">
        <v>673.66</v>
      </c>
      <c r="F42" s="70">
        <v>571.29</v>
      </c>
      <c r="G42" s="70">
        <v>0</v>
      </c>
      <c r="H42" s="70">
        <f>Table1[[#This Row],[NONResident Noncredit FTES3]]+Table1[[#This Row],[Resident Noncredit FTES]]</f>
        <v>673.66</v>
      </c>
      <c r="I42" s="71">
        <f>Table1[[#This Row],[Total Noncredit]]/Table1[[#This Row],[2018-19 Total FTES]]</f>
        <v>3.6371509218406144E-2</v>
      </c>
      <c r="J42" s="72">
        <f>Table1[[#This Row],[Resident Credit FTES]]+Table1[[#This Row],[NONResident Credit FTES2]]</f>
        <v>17847.98</v>
      </c>
      <c r="K42" s="70">
        <f>SUM(Table1[[#This Row],[Resident Credit FTES]:[NONResident Noncredit FTES3]])</f>
        <v>18521.64</v>
      </c>
      <c r="L42" s="73">
        <f>Table1[[#This Row],[2018-19 Expense of Education*]]/Table1[[#This Row],[2018-19 Total FTES]]</f>
        <v>8586.4199930459727</v>
      </c>
      <c r="M42" s="69" t="s">
        <v>28</v>
      </c>
      <c r="O42" s="75" t="s">
        <v>175</v>
      </c>
    </row>
    <row r="43" spans="2:15" ht="15.75">
      <c r="B43" s="69" t="s">
        <v>102</v>
      </c>
      <c r="C43" s="106">
        <v>176941450</v>
      </c>
      <c r="D43" s="70">
        <v>22815.74</v>
      </c>
      <c r="E43" s="70">
        <v>1064.56</v>
      </c>
      <c r="F43" s="70">
        <v>1604.62</v>
      </c>
      <c r="G43" s="70">
        <v>0</v>
      </c>
      <c r="H43" s="70">
        <f>Table1[[#This Row],[NONResident Noncredit FTES3]]+Table1[[#This Row],[Resident Noncredit FTES]]</f>
        <v>1064.56</v>
      </c>
      <c r="I43" s="71">
        <f>Table1[[#This Row],[Total Noncredit]]/Table1[[#This Row],[2018-19 Total FTES]]</f>
        <v>4.1772153885513467E-2</v>
      </c>
      <c r="J43" s="72">
        <f>Table1[[#This Row],[Resident Credit FTES]]+Table1[[#This Row],[NONResident Credit FTES2]]</f>
        <v>24420.36</v>
      </c>
      <c r="K43" s="70">
        <f>SUM(Table1[[#This Row],[Resident Credit FTES]:[NONResident Noncredit FTES3]])</f>
        <v>25484.920000000002</v>
      </c>
      <c r="L43" s="73">
        <f>Table1[[#This Row],[2018-19 Expense of Education*]]/Table1[[#This Row],[2018-19 Total FTES]]</f>
        <v>6942.9862836532348</v>
      </c>
      <c r="M43" s="69" t="s">
        <v>28</v>
      </c>
      <c r="O43" s="74" t="s">
        <v>176</v>
      </c>
    </row>
    <row r="44" spans="2:15" ht="15.75">
      <c r="B44" s="69" t="s">
        <v>103</v>
      </c>
      <c r="C44" s="106">
        <v>162439389</v>
      </c>
      <c r="D44" s="77">
        <v>16409.22</v>
      </c>
      <c r="E44" s="77">
        <v>141.69999999999999</v>
      </c>
      <c r="F44" s="77">
        <v>1351.91</v>
      </c>
      <c r="G44" s="77">
        <v>13.91</v>
      </c>
      <c r="H44" s="77">
        <f>Table1[[#This Row],[NONResident Noncredit FTES3]]+Table1[[#This Row],[Resident Noncredit FTES]]</f>
        <v>155.60999999999999</v>
      </c>
      <c r="I44" s="78">
        <f>Table1[[#This Row],[Total Noncredit]]/Table1[[#This Row],[2018-19 Total FTES]]</f>
        <v>8.6851737537074255E-3</v>
      </c>
      <c r="J44" s="79">
        <f>Table1[[#This Row],[Resident Credit FTES]]+Table1[[#This Row],[NONResident Credit FTES2]]</f>
        <v>17761.13</v>
      </c>
      <c r="K44" s="77">
        <f>SUM(Table1[[#This Row],[Resident Credit FTES]:[NONResident Noncredit FTES3]])</f>
        <v>17916.740000000002</v>
      </c>
      <c r="L44" s="73">
        <f>Table1[[#This Row],[2018-19 Expense of Education*]]/Table1[[#This Row],[2018-19 Total FTES]]</f>
        <v>9066.3473935548536</v>
      </c>
      <c r="M44" s="69" t="s">
        <v>28</v>
      </c>
      <c r="O44" s="75" t="s">
        <v>177</v>
      </c>
    </row>
    <row r="45" spans="2:15" ht="15.75">
      <c r="B45" s="69" t="s">
        <v>104</v>
      </c>
      <c r="C45" s="106">
        <v>238976396</v>
      </c>
      <c r="D45" s="77">
        <v>20452.62</v>
      </c>
      <c r="E45" s="77">
        <v>5472.9</v>
      </c>
      <c r="F45" s="77">
        <v>659.21</v>
      </c>
      <c r="G45" s="77">
        <v>0</v>
      </c>
      <c r="H45" s="77">
        <f>Table1[[#This Row],[NONResident Noncredit FTES3]]+Table1[[#This Row],[Resident Noncredit FTES]]</f>
        <v>5472.9</v>
      </c>
      <c r="I45" s="78">
        <f>Table1[[#This Row],[Total Noncredit]]/Table1[[#This Row],[2018-19 Total FTES]]</f>
        <v>0.2058662999398527</v>
      </c>
      <c r="J45" s="79">
        <f>Table1[[#This Row],[Resident Credit FTES]]+Table1[[#This Row],[NONResident Credit FTES2]]</f>
        <v>21111.829999999998</v>
      </c>
      <c r="K45" s="77">
        <f>SUM(Table1[[#This Row],[Resident Credit FTES]:[NONResident Noncredit FTES3]])</f>
        <v>26584.729999999996</v>
      </c>
      <c r="L45" s="73">
        <f>Table1[[#This Row],[2018-19 Expense of Education*]]/Table1[[#This Row],[2018-19 Total FTES]]</f>
        <v>8989.2353994191417</v>
      </c>
      <c r="M45" s="69" t="s">
        <v>28</v>
      </c>
      <c r="O45" s="74" t="s">
        <v>178</v>
      </c>
    </row>
    <row r="46" spans="2:15" ht="15.75">
      <c r="B46" s="69" t="s">
        <v>105</v>
      </c>
      <c r="C46" s="106">
        <v>36267666</v>
      </c>
      <c r="D46" s="70">
        <v>3379.68</v>
      </c>
      <c r="E46" s="70">
        <v>153.38</v>
      </c>
      <c r="F46" s="70">
        <v>127.74</v>
      </c>
      <c r="G46" s="70">
        <v>40.11</v>
      </c>
      <c r="H46" s="70">
        <f>Table1[[#This Row],[NONResident Noncredit FTES3]]+Table1[[#This Row],[Resident Noncredit FTES]]</f>
        <v>193.49</v>
      </c>
      <c r="I46" s="71">
        <f>Table1[[#This Row],[Total Noncredit]]/Table1[[#This Row],[2018-19 Total FTES]]</f>
        <v>5.2281736113550456E-2</v>
      </c>
      <c r="J46" s="72">
        <f>Table1[[#This Row],[Resident Credit FTES]]+Table1[[#This Row],[NONResident Credit FTES2]]</f>
        <v>3507.4199999999996</v>
      </c>
      <c r="K46" s="70">
        <f>SUM(Table1[[#This Row],[Resident Credit FTES]:[NONResident Noncredit FTES3]])</f>
        <v>3700.91</v>
      </c>
      <c r="L46" s="73">
        <f>Table1[[#This Row],[2018-19 Expense of Education*]]/Table1[[#This Row],[2018-19 Total FTES]]</f>
        <v>9799.6617048239495</v>
      </c>
      <c r="M46" s="69" t="s">
        <v>28</v>
      </c>
      <c r="O46" s="75" t="s">
        <v>179</v>
      </c>
    </row>
    <row r="47" spans="2:15" ht="15.75">
      <c r="B47" s="69" t="s">
        <v>106</v>
      </c>
      <c r="C47" s="106">
        <v>104103145</v>
      </c>
      <c r="D47" s="70">
        <v>12441.85</v>
      </c>
      <c r="E47" s="70">
        <v>498.79</v>
      </c>
      <c r="F47" s="70">
        <v>178.12</v>
      </c>
      <c r="G47" s="70">
        <v>0</v>
      </c>
      <c r="H47" s="70">
        <f>Table1[[#This Row],[NONResident Noncredit FTES3]]+Table1[[#This Row],[Resident Noncredit FTES]]</f>
        <v>498.79</v>
      </c>
      <c r="I47" s="71">
        <f>Table1[[#This Row],[Total Noncredit]]/Table1[[#This Row],[2018-19 Total FTES]]</f>
        <v>3.8021123947690173E-2</v>
      </c>
      <c r="J47" s="72">
        <f>Table1[[#This Row],[Resident Credit FTES]]+Table1[[#This Row],[NONResident Credit FTES2]]</f>
        <v>12619.970000000001</v>
      </c>
      <c r="K47" s="70">
        <f>SUM(Table1[[#This Row],[Resident Credit FTES]:[NONResident Noncredit FTES3]])</f>
        <v>13118.760000000002</v>
      </c>
      <c r="L47" s="73">
        <f>Table1[[#This Row],[2018-19 Expense of Education*]]/Table1[[#This Row],[2018-19 Total FTES]]</f>
        <v>7935.4409258192072</v>
      </c>
      <c r="M47" s="69" t="s">
        <v>28</v>
      </c>
      <c r="O47" s="74" t="s">
        <v>180</v>
      </c>
    </row>
    <row r="48" spans="2:15" ht="15.75">
      <c r="B48" s="69" t="s">
        <v>107</v>
      </c>
      <c r="C48" s="106">
        <v>252603771</v>
      </c>
      <c r="D48" s="77">
        <v>29843.58</v>
      </c>
      <c r="E48" s="77">
        <v>130.30000000000001</v>
      </c>
      <c r="F48" s="77">
        <v>556.58000000000004</v>
      </c>
      <c r="G48" s="77">
        <v>0</v>
      </c>
      <c r="H48" s="77">
        <f>Table1[[#This Row],[NONResident Noncredit FTES3]]+Table1[[#This Row],[Resident Noncredit FTES]]</f>
        <v>130.30000000000001</v>
      </c>
      <c r="I48" s="78">
        <f>Table1[[#This Row],[Total Noncredit]]/Table1[[#This Row],[2018-19 Total FTES]]</f>
        <v>4.2678688758701969E-3</v>
      </c>
      <c r="J48" s="79">
        <f>Table1[[#This Row],[Resident Credit FTES]]+Table1[[#This Row],[NONResident Credit FTES2]]</f>
        <v>30400.160000000003</v>
      </c>
      <c r="K48" s="77">
        <f>SUM(Table1[[#This Row],[Resident Credit FTES]:[NONResident Noncredit FTES3]])</f>
        <v>30530.460000000003</v>
      </c>
      <c r="L48" s="73">
        <f>Table1[[#This Row],[2018-19 Expense of Education*]]/Table1[[#This Row],[2018-19 Total FTES]]</f>
        <v>8273.8278755053143</v>
      </c>
      <c r="M48" s="69" t="s">
        <v>28</v>
      </c>
      <c r="O48" s="75" t="s">
        <v>181</v>
      </c>
    </row>
    <row r="49" spans="2:15" ht="15.75">
      <c r="B49" s="69" t="s">
        <v>109</v>
      </c>
      <c r="C49" s="106">
        <v>125839550</v>
      </c>
      <c r="D49" s="77">
        <v>15058.57</v>
      </c>
      <c r="E49" s="77">
        <v>233.1</v>
      </c>
      <c r="F49" s="77">
        <v>299</v>
      </c>
      <c r="G49" s="77">
        <v>15.3</v>
      </c>
      <c r="H49" s="77">
        <f>Table1[[#This Row],[NONResident Noncredit FTES3]]+Table1[[#This Row],[Resident Noncredit FTES]]</f>
        <v>248.4</v>
      </c>
      <c r="I49" s="78">
        <f>Table1[[#This Row],[Total Noncredit]]/Table1[[#This Row],[2018-19 Total FTES]]</f>
        <v>1.5916985615120369E-2</v>
      </c>
      <c r="J49" s="79">
        <f>Table1[[#This Row],[Resident Credit FTES]]+Table1[[#This Row],[NONResident Credit FTES2]]</f>
        <v>15357.57</v>
      </c>
      <c r="K49" s="77">
        <f>SUM(Table1[[#This Row],[Resident Credit FTES]:[NONResident Noncredit FTES3]])</f>
        <v>15605.97</v>
      </c>
      <c r="L49" s="73">
        <f>Table1[[#This Row],[2018-19 Expense of Education*]]/Table1[[#This Row],[2018-19 Total FTES]]</f>
        <v>8063.551961204591</v>
      </c>
      <c r="M49" s="69" t="s">
        <v>28</v>
      </c>
      <c r="O49" s="74" t="s">
        <v>182</v>
      </c>
    </row>
    <row r="50" spans="2:15" ht="15.75">
      <c r="B50" s="69" t="s">
        <v>108</v>
      </c>
      <c r="C50" s="106">
        <v>363424470</v>
      </c>
      <c r="D50" s="77">
        <v>32593.21</v>
      </c>
      <c r="E50" s="77">
        <v>7527.24</v>
      </c>
      <c r="F50" s="77">
        <v>1095.94</v>
      </c>
      <c r="G50" s="77">
        <v>0.97</v>
      </c>
      <c r="H50" s="77">
        <f>Table1[[#This Row],[NONResident Noncredit FTES3]]+Table1[[#This Row],[Resident Noncredit FTES]]</f>
        <v>7528.21</v>
      </c>
      <c r="I50" s="78">
        <f>Table1[[#This Row],[Total Noncredit]]/Table1[[#This Row],[2018-19 Total FTES]]</f>
        <v>0.18264658386660379</v>
      </c>
      <c r="J50" s="79">
        <f>Table1[[#This Row],[Resident Credit FTES]]+Table1[[#This Row],[NONResident Credit FTES2]]</f>
        <v>33689.15</v>
      </c>
      <c r="K50" s="77">
        <f>SUM(Table1[[#This Row],[Resident Credit FTES]:[NONResident Noncredit FTES3]])</f>
        <v>41217.360000000001</v>
      </c>
      <c r="L50" s="73">
        <f>Table1[[#This Row],[2018-19 Expense of Education*]]/Table1[[#This Row],[2018-19 Total FTES]]</f>
        <v>8817.2670447597811</v>
      </c>
      <c r="M50" s="69" t="s">
        <v>28</v>
      </c>
      <c r="O50" s="75" t="s">
        <v>183</v>
      </c>
    </row>
    <row r="51" spans="2:15" ht="15.75">
      <c r="B51" s="69" t="s">
        <v>110</v>
      </c>
      <c r="C51" s="106">
        <v>204199462</v>
      </c>
      <c r="D51" s="70">
        <v>16647</v>
      </c>
      <c r="E51" s="70">
        <v>5644.47</v>
      </c>
      <c r="F51" s="70">
        <v>916</v>
      </c>
      <c r="G51" s="70">
        <v>0</v>
      </c>
      <c r="H51" s="70">
        <f>Table1[[#This Row],[NONResident Noncredit FTES3]]+Table1[[#This Row],[Resident Noncredit FTES]]</f>
        <v>5644.47</v>
      </c>
      <c r="I51" s="71">
        <f>Table1[[#This Row],[Total Noncredit]]/Table1[[#This Row],[2018-19 Total FTES]]</f>
        <v>0.2432178087486486</v>
      </c>
      <c r="J51" s="72">
        <f>Table1[[#This Row],[Resident Credit FTES]]+Table1[[#This Row],[NONResident Credit FTES2]]</f>
        <v>17563</v>
      </c>
      <c r="K51" s="70">
        <f>SUM(Table1[[#This Row],[Resident Credit FTES]:[NONResident Noncredit FTES3]])</f>
        <v>23207.47</v>
      </c>
      <c r="L51" s="73">
        <f>Table1[[#This Row],[2018-19 Expense of Education*]]/Table1[[#This Row],[2018-19 Total FTES]]</f>
        <v>8798.8678645281016</v>
      </c>
      <c r="M51" s="69" t="s">
        <v>28</v>
      </c>
      <c r="O51" s="74" t="s">
        <v>184</v>
      </c>
    </row>
    <row r="52" spans="2:15" ht="15.75">
      <c r="B52" s="69" t="s">
        <v>111</v>
      </c>
      <c r="C52" s="106">
        <v>110874783</v>
      </c>
      <c r="D52" s="70">
        <v>13882.97</v>
      </c>
      <c r="E52" s="70">
        <v>153.9</v>
      </c>
      <c r="F52" s="70">
        <v>230.55</v>
      </c>
      <c r="G52" s="70">
        <v>0.06</v>
      </c>
      <c r="H52" s="70">
        <f>Table1[[#This Row],[NONResident Noncredit FTES3]]+Table1[[#This Row],[Resident Noncredit FTES]]</f>
        <v>153.96</v>
      </c>
      <c r="I52" s="71">
        <f>Table1[[#This Row],[Total Noncredit]]/Table1[[#This Row],[2018-19 Total FTES]]</f>
        <v>1.0790973598701384E-2</v>
      </c>
      <c r="J52" s="72">
        <f>Table1[[#This Row],[Resident Credit FTES]]+Table1[[#This Row],[NONResident Credit FTES2]]</f>
        <v>14113.519999999999</v>
      </c>
      <c r="K52" s="70">
        <f>SUM(Table1[[#This Row],[Resident Credit FTES]:[NONResident Noncredit FTES3]])</f>
        <v>14267.479999999998</v>
      </c>
      <c r="L52" s="73">
        <f>Table1[[#This Row],[2018-19 Expense of Education*]]/Table1[[#This Row],[2018-19 Total FTES]]</f>
        <v>7771.1539108518127</v>
      </c>
      <c r="M52" s="69" t="s">
        <v>28</v>
      </c>
      <c r="O52" s="75" t="s">
        <v>185</v>
      </c>
    </row>
    <row r="53" spans="2:15" ht="15.75">
      <c r="B53" s="69" t="s">
        <v>112</v>
      </c>
      <c r="C53" s="106">
        <v>142857303</v>
      </c>
      <c r="D53" s="77">
        <v>12036.38</v>
      </c>
      <c r="E53" s="77">
        <v>208.36</v>
      </c>
      <c r="F53" s="77">
        <v>738.98</v>
      </c>
      <c r="G53" s="77">
        <v>0</v>
      </c>
      <c r="H53" s="77">
        <f>Table1[[#This Row],[NONResident Noncredit FTES3]]+Table1[[#This Row],[Resident Noncredit FTES]]</f>
        <v>208.36</v>
      </c>
      <c r="I53" s="78">
        <f>Table1[[#This Row],[Total Noncredit]]/Table1[[#This Row],[2018-19 Total FTES]]</f>
        <v>1.6047789077398466E-2</v>
      </c>
      <c r="J53" s="79">
        <f>Table1[[#This Row],[Resident Credit FTES]]+Table1[[#This Row],[NONResident Credit FTES2]]</f>
        <v>12775.359999999999</v>
      </c>
      <c r="K53" s="77">
        <f>SUM(Table1[[#This Row],[Resident Credit FTES]:[NONResident Noncredit FTES3]])</f>
        <v>12983.72</v>
      </c>
      <c r="L53" s="73">
        <f>Table1[[#This Row],[2018-19 Expense of Education*]]/Table1[[#This Row],[2018-19 Total FTES]]</f>
        <v>11002.80220152622</v>
      </c>
      <c r="M53" s="69" t="s">
        <v>28</v>
      </c>
      <c r="O53" s="74" t="s">
        <v>186</v>
      </c>
    </row>
    <row r="54" spans="2:15" ht="15.75">
      <c r="B54" s="69" t="s">
        <v>113</v>
      </c>
      <c r="C54" s="106">
        <v>63544499</v>
      </c>
      <c r="D54" s="70">
        <v>6850.46</v>
      </c>
      <c r="E54" s="70">
        <v>529.29</v>
      </c>
      <c r="F54" s="70">
        <v>192.18</v>
      </c>
      <c r="G54" s="70">
        <v>0</v>
      </c>
      <c r="H54" s="70">
        <f>Table1[[#This Row],[NONResident Noncredit FTES3]]+Table1[[#This Row],[Resident Noncredit FTES]]</f>
        <v>529.29</v>
      </c>
      <c r="I54" s="71">
        <f>Table1[[#This Row],[Total Noncredit]]/Table1[[#This Row],[2018-19 Total FTES]]</f>
        <v>6.9901597082910161E-2</v>
      </c>
      <c r="J54" s="72">
        <f>Table1[[#This Row],[Resident Credit FTES]]+Table1[[#This Row],[NONResident Credit FTES2]]</f>
        <v>7042.64</v>
      </c>
      <c r="K54" s="70">
        <f>SUM(Table1[[#This Row],[Resident Credit FTES]:[NONResident Noncredit FTES3]])</f>
        <v>7571.93</v>
      </c>
      <c r="L54" s="73">
        <f>Table1[[#This Row],[2018-19 Expense of Education*]]/Table1[[#This Row],[2018-19 Total FTES]]</f>
        <v>8392.1138996266473</v>
      </c>
      <c r="M54" s="69" t="s">
        <v>28</v>
      </c>
      <c r="O54" s="75" t="s">
        <v>187</v>
      </c>
    </row>
    <row r="55" spans="2:15" ht="15.75">
      <c r="B55" s="69" t="s">
        <v>114</v>
      </c>
      <c r="C55" s="106">
        <v>199400901</v>
      </c>
      <c r="D55" s="77">
        <v>15154.38</v>
      </c>
      <c r="E55" s="77">
        <v>28.12</v>
      </c>
      <c r="F55" s="77">
        <v>1706.86</v>
      </c>
      <c r="G55" s="77">
        <v>2.5</v>
      </c>
      <c r="H55" s="77">
        <f>Table1[[#This Row],[NONResident Noncredit FTES3]]+Table1[[#This Row],[Resident Noncredit FTES]]</f>
        <v>30.62</v>
      </c>
      <c r="I55" s="78">
        <f>Table1[[#This Row],[Total Noncredit]]/Table1[[#This Row],[2018-19 Total FTES]]</f>
        <v>1.8127074223916134E-3</v>
      </c>
      <c r="J55" s="79">
        <f>Table1[[#This Row],[Resident Credit FTES]]+Table1[[#This Row],[NONResident Credit FTES2]]</f>
        <v>16861.239999999998</v>
      </c>
      <c r="K55" s="77">
        <f>SUM(Table1[[#This Row],[Resident Credit FTES]:[NONResident Noncredit FTES3]])</f>
        <v>16891.86</v>
      </c>
      <c r="L55" s="73">
        <f>Table1[[#This Row],[2018-19 Expense of Education*]]/Table1[[#This Row],[2018-19 Total FTES]]</f>
        <v>11804.555626201021</v>
      </c>
      <c r="M55" s="69" t="s">
        <v>28</v>
      </c>
      <c r="O55" s="74" t="s">
        <v>188</v>
      </c>
    </row>
    <row r="56" spans="2:15" ht="15.75">
      <c r="B56" s="69" t="s">
        <v>115</v>
      </c>
      <c r="C56" s="106">
        <v>123887383</v>
      </c>
      <c r="D56" s="70">
        <v>11441.1</v>
      </c>
      <c r="E56" s="70">
        <v>1183.94</v>
      </c>
      <c r="F56" s="70">
        <v>1828.29</v>
      </c>
      <c r="G56" s="70">
        <v>0</v>
      </c>
      <c r="H56" s="70">
        <f>Table1[[#This Row],[NONResident Noncredit FTES3]]+Table1[[#This Row],[Resident Noncredit FTES]]</f>
        <v>1183.94</v>
      </c>
      <c r="I56" s="71">
        <f>Table1[[#This Row],[Total Noncredit]]/Table1[[#This Row],[2018-19 Total FTES]]</f>
        <v>8.191468678844252E-2</v>
      </c>
      <c r="J56" s="72">
        <f>Table1[[#This Row],[Resident Credit FTES]]+Table1[[#This Row],[NONResident Credit FTES2]]</f>
        <v>13269.39</v>
      </c>
      <c r="K56" s="70">
        <f>SUM(Table1[[#This Row],[Resident Credit FTES]:[NONResident Noncredit FTES3]])</f>
        <v>14453.330000000002</v>
      </c>
      <c r="L56" s="73">
        <f>Table1[[#This Row],[2018-19 Expense of Education*]]/Table1[[#This Row],[2018-19 Total FTES]]</f>
        <v>8571.5460035853321</v>
      </c>
      <c r="M56" s="69" t="s">
        <v>28</v>
      </c>
      <c r="O56" s="75" t="s">
        <v>189</v>
      </c>
    </row>
    <row r="57" spans="2:15" ht="15.75">
      <c r="B57" s="69" t="s">
        <v>116</v>
      </c>
      <c r="C57" s="106">
        <v>122921330</v>
      </c>
      <c r="D57" s="70">
        <v>16006.12</v>
      </c>
      <c r="E57" s="70">
        <v>385.35</v>
      </c>
      <c r="F57" s="70">
        <v>387.23</v>
      </c>
      <c r="G57" s="70">
        <v>133.78</v>
      </c>
      <c r="H57" s="70">
        <f>Table1[[#This Row],[NONResident Noncredit FTES3]]+Table1[[#This Row],[Resident Noncredit FTES]]</f>
        <v>519.13</v>
      </c>
      <c r="I57" s="71">
        <f>Table1[[#This Row],[Total Noncredit]]/Table1[[#This Row],[2018-19 Total FTES]]</f>
        <v>3.0695084340084954E-2</v>
      </c>
      <c r="J57" s="72">
        <f>Table1[[#This Row],[Resident Credit FTES]]+Table1[[#This Row],[NONResident Credit FTES2]]</f>
        <v>16393.350000000002</v>
      </c>
      <c r="K57" s="70">
        <f>SUM(Table1[[#This Row],[Resident Credit FTES]:[NONResident Noncredit FTES3]])</f>
        <v>16912.48</v>
      </c>
      <c r="L57" s="73">
        <f>Table1[[#This Row],[2018-19 Expense of Education*]]/Table1[[#This Row],[2018-19 Total FTES]]</f>
        <v>7268.084278591904</v>
      </c>
      <c r="M57" s="69" t="s">
        <v>28</v>
      </c>
      <c r="O57" s="74" t="s">
        <v>190</v>
      </c>
    </row>
    <row r="58" spans="2:15" ht="15.75">
      <c r="B58" s="69" t="s">
        <v>117</v>
      </c>
      <c r="C58" s="106">
        <v>206208713</v>
      </c>
      <c r="D58" s="70">
        <v>19501.310000000001</v>
      </c>
      <c r="E58" s="70">
        <v>747.97</v>
      </c>
      <c r="F58" s="70">
        <v>4259.18</v>
      </c>
      <c r="G58" s="70">
        <v>0</v>
      </c>
      <c r="H58" s="70">
        <f>Table1[[#This Row],[NONResident Noncredit FTES3]]+Table1[[#This Row],[Resident Noncredit FTES]]</f>
        <v>747.97</v>
      </c>
      <c r="I58" s="71">
        <f>Table1[[#This Row],[Total Noncredit]]/Table1[[#This Row],[2018-19 Total FTES]]</f>
        <v>3.0518849409550821E-2</v>
      </c>
      <c r="J58" s="72">
        <f>Table1[[#This Row],[Resident Credit FTES]]+Table1[[#This Row],[NONResident Credit FTES2]]</f>
        <v>23760.49</v>
      </c>
      <c r="K58" s="70">
        <f>SUM(Table1[[#This Row],[Resident Credit FTES]:[NONResident Noncredit FTES3]])</f>
        <v>24508.460000000003</v>
      </c>
      <c r="L58" s="73">
        <f>Table1[[#This Row],[2018-19 Expense of Education*]]/Table1[[#This Row],[2018-19 Total FTES]]</f>
        <v>8413.7768346113953</v>
      </c>
      <c r="M58" s="69" t="s">
        <v>28</v>
      </c>
      <c r="O58" s="75" t="s">
        <v>191</v>
      </c>
    </row>
    <row r="59" spans="2:15" ht="15.75">
      <c r="B59" s="69" t="s">
        <v>118</v>
      </c>
      <c r="C59" s="106">
        <v>74176963</v>
      </c>
      <c r="D59" s="70">
        <v>9647.56</v>
      </c>
      <c r="E59" s="70">
        <v>626.70000000000005</v>
      </c>
      <c r="F59" s="70">
        <v>75.55</v>
      </c>
      <c r="G59" s="70">
        <v>51.77</v>
      </c>
      <c r="H59" s="70">
        <f>Table1[[#This Row],[NONResident Noncredit FTES3]]+Table1[[#This Row],[Resident Noncredit FTES]]</f>
        <v>678.47</v>
      </c>
      <c r="I59" s="71">
        <f>Table1[[#This Row],[Total Noncredit]]/Table1[[#This Row],[2018-19 Total FTES]]</f>
        <v>6.5227590423762541E-2</v>
      </c>
      <c r="J59" s="72">
        <f>Table1[[#This Row],[Resident Credit FTES]]+Table1[[#This Row],[NONResident Credit FTES2]]</f>
        <v>9723.1099999999988</v>
      </c>
      <c r="K59" s="70">
        <f>SUM(Table1[[#This Row],[Resident Credit FTES]:[NONResident Noncredit FTES3]])</f>
        <v>10401.58</v>
      </c>
      <c r="L59" s="73">
        <f>Table1[[#This Row],[2018-19 Expense of Education*]]/Table1[[#This Row],[2018-19 Total FTES]]</f>
        <v>7131.3168768590922</v>
      </c>
      <c r="M59" s="69" t="s">
        <v>28</v>
      </c>
      <c r="O59" s="74" t="s">
        <v>192</v>
      </c>
    </row>
    <row r="60" spans="2:15" ht="15.75">
      <c r="B60" s="69" t="s">
        <v>119</v>
      </c>
      <c r="C60" s="106">
        <v>56014226</v>
      </c>
      <c r="D60" s="70">
        <v>6565.08</v>
      </c>
      <c r="E60" s="70">
        <v>175.38</v>
      </c>
      <c r="F60" s="70">
        <v>218.59</v>
      </c>
      <c r="G60" s="70">
        <v>0</v>
      </c>
      <c r="H60" s="70">
        <f>Table1[[#This Row],[NONResident Noncredit FTES3]]+Table1[[#This Row],[Resident Noncredit FTES]]</f>
        <v>175.38</v>
      </c>
      <c r="I60" s="71">
        <f>Table1[[#This Row],[Total Noncredit]]/Table1[[#This Row],[2018-19 Total FTES]]</f>
        <v>2.5201715751431587E-2</v>
      </c>
      <c r="J60" s="72">
        <f>Table1[[#This Row],[Resident Credit FTES]]+Table1[[#This Row],[NONResident Credit FTES2]]</f>
        <v>6783.67</v>
      </c>
      <c r="K60" s="70">
        <f>SUM(Table1[[#This Row],[Resident Credit FTES]:[NONResident Noncredit FTES3]])</f>
        <v>6959.05</v>
      </c>
      <c r="L60" s="73">
        <f>Table1[[#This Row],[2018-19 Expense of Education*]]/Table1[[#This Row],[2018-19 Total FTES]]</f>
        <v>8049.1196355824432</v>
      </c>
      <c r="M60" s="69" t="s">
        <v>28</v>
      </c>
      <c r="O60" s="75" t="s">
        <v>193</v>
      </c>
    </row>
    <row r="61" spans="2:15" ht="15.75">
      <c r="B61" s="69" t="s">
        <v>121</v>
      </c>
      <c r="C61" s="106">
        <v>105265571</v>
      </c>
      <c r="D61" s="70">
        <v>12587.22</v>
      </c>
      <c r="E61" s="70">
        <v>367.53</v>
      </c>
      <c r="F61" s="70">
        <v>286.01</v>
      </c>
      <c r="G61" s="70">
        <v>0</v>
      </c>
      <c r="H61" s="70">
        <f>Table1[[#This Row],[NONResident Noncredit FTES3]]+Table1[[#This Row],[Resident Noncredit FTES]]</f>
        <v>367.53</v>
      </c>
      <c r="I61" s="71">
        <f>Table1[[#This Row],[Total Noncredit]]/Table1[[#This Row],[2018-19 Total FTES]]</f>
        <v>2.7757470115008502E-2</v>
      </c>
      <c r="J61" s="72">
        <f>Table1[[#This Row],[Resident Credit FTES]]+Table1[[#This Row],[NONResident Credit FTES2]]</f>
        <v>12873.23</v>
      </c>
      <c r="K61" s="70">
        <f>SUM(Table1[[#This Row],[Resident Credit FTES]:[NONResident Noncredit FTES3]])</f>
        <v>13240.76</v>
      </c>
      <c r="L61" s="73">
        <f>Table1[[#This Row],[2018-19 Expense of Education*]]/Table1[[#This Row],[2018-19 Total FTES]]</f>
        <v>7950.1154767551106</v>
      </c>
      <c r="M61" s="69" t="s">
        <v>28</v>
      </c>
      <c r="O61" s="74" t="s">
        <v>194</v>
      </c>
    </row>
    <row r="62" spans="2:15" ht="15.75">
      <c r="B62" s="69" t="s">
        <v>122</v>
      </c>
      <c r="C62" s="106">
        <v>22927437</v>
      </c>
      <c r="D62" s="70">
        <v>1448.62</v>
      </c>
      <c r="E62" s="70">
        <v>636.69000000000005</v>
      </c>
      <c r="F62" s="70">
        <v>168.26</v>
      </c>
      <c r="G62" s="70">
        <v>0</v>
      </c>
      <c r="H62" s="70">
        <f>Table1[[#This Row],[NONResident Noncredit FTES3]]+Table1[[#This Row],[Resident Noncredit FTES]]</f>
        <v>636.69000000000005</v>
      </c>
      <c r="I62" s="71">
        <f>Table1[[#This Row],[Total Noncredit]]/Table1[[#This Row],[2018-19 Total FTES]]</f>
        <v>0.28252506023775614</v>
      </c>
      <c r="J62" s="72">
        <f>Table1[[#This Row],[Resident Credit FTES]]+Table1[[#This Row],[NONResident Credit FTES2]]</f>
        <v>1616.8799999999999</v>
      </c>
      <c r="K62" s="70">
        <f>SUM(Table1[[#This Row],[Resident Credit FTES]:[NONResident Noncredit FTES3]])</f>
        <v>2253.5699999999997</v>
      </c>
      <c r="L62" s="73">
        <f>Table1[[#This Row],[2018-19 Expense of Education*]]/Table1[[#This Row],[2018-19 Total FTES]]</f>
        <v>10173.829523822204</v>
      </c>
      <c r="M62" s="69" t="s">
        <v>28</v>
      </c>
      <c r="O62" s="75" t="s">
        <v>195</v>
      </c>
    </row>
    <row r="63" spans="2:15" ht="15.75">
      <c r="B63" s="69" t="s">
        <v>123</v>
      </c>
      <c r="C63" s="106">
        <v>60899696</v>
      </c>
      <c r="D63" s="70">
        <v>6128.96</v>
      </c>
      <c r="E63" s="70">
        <v>47.51</v>
      </c>
      <c r="F63" s="70">
        <v>82.53</v>
      </c>
      <c r="G63" s="70">
        <v>0.84</v>
      </c>
      <c r="H63" s="70">
        <f>Table1[[#This Row],[NONResident Noncredit FTES3]]+Table1[[#This Row],[Resident Noncredit FTES]]</f>
        <v>48.35</v>
      </c>
      <c r="I63" s="71">
        <f>Table1[[#This Row],[Total Noncredit]]/Table1[[#This Row],[2018-19 Total FTES]]</f>
        <v>7.7238395869542991E-3</v>
      </c>
      <c r="J63" s="72">
        <f>Table1[[#This Row],[Resident Credit FTES]]+Table1[[#This Row],[NONResident Credit FTES2]]</f>
        <v>6211.49</v>
      </c>
      <c r="K63" s="70">
        <f>SUM(Table1[[#This Row],[Resident Credit FTES]:[NONResident Noncredit FTES3]])</f>
        <v>6259.84</v>
      </c>
      <c r="L63" s="73">
        <f>Table1[[#This Row],[2018-19 Expense of Education*]]/Table1[[#This Row],[2018-19 Total FTES]]</f>
        <v>9728.6345976893972</v>
      </c>
      <c r="M63" s="69" t="s">
        <v>28</v>
      </c>
      <c r="O63" s="74" t="s">
        <v>196</v>
      </c>
    </row>
    <row r="64" spans="2:15" ht="15.75">
      <c r="B64" s="69" t="s">
        <v>124</v>
      </c>
      <c r="C64" s="106">
        <v>148332625</v>
      </c>
      <c r="D64" s="70">
        <v>16238.88</v>
      </c>
      <c r="E64" s="70">
        <v>3127.15</v>
      </c>
      <c r="F64" s="70">
        <v>388.43</v>
      </c>
      <c r="G64" s="70">
        <v>0</v>
      </c>
      <c r="H64" s="70">
        <f>Table1[[#This Row],[NONResident Noncredit FTES3]]+Table1[[#This Row],[Resident Noncredit FTES]]</f>
        <v>3127.15</v>
      </c>
      <c r="I64" s="71">
        <f>Table1[[#This Row],[Total Noncredit]]/Table1[[#This Row],[2018-19 Total FTES]]</f>
        <v>0.15830096089693163</v>
      </c>
      <c r="J64" s="72">
        <f>Table1[[#This Row],[Resident Credit FTES]]+Table1[[#This Row],[NONResident Credit FTES2]]</f>
        <v>16627.309999999998</v>
      </c>
      <c r="K64" s="70">
        <f>SUM(Table1[[#This Row],[Resident Credit FTES]:[NONResident Noncredit FTES3]])</f>
        <v>19754.46</v>
      </c>
      <c r="L64" s="73">
        <f>Table1[[#This Row],[2018-19 Expense of Education*]]/Table1[[#This Row],[2018-19 Total FTES]]</f>
        <v>7508.8169962631227</v>
      </c>
      <c r="M64" s="69" t="s">
        <v>28</v>
      </c>
      <c r="O64" s="75" t="s">
        <v>197</v>
      </c>
    </row>
    <row r="65" spans="2:15" ht="15.75">
      <c r="B65" s="69" t="s">
        <v>125</v>
      </c>
      <c r="C65" s="106">
        <v>220836428</v>
      </c>
      <c r="D65" s="77">
        <v>23323.25</v>
      </c>
      <c r="E65" s="77">
        <v>3211.34</v>
      </c>
      <c r="F65" s="77">
        <v>1652.92</v>
      </c>
      <c r="G65" s="77">
        <v>2.94</v>
      </c>
      <c r="H65" s="77">
        <f>Table1[[#This Row],[NONResident Noncredit FTES3]]+Table1[[#This Row],[Resident Noncredit FTES]]</f>
        <v>3214.28</v>
      </c>
      <c r="I65" s="78">
        <f>Table1[[#This Row],[Total Noncredit]]/Table1[[#This Row],[2018-19 Total FTES]]</f>
        <v>0.114020173498472</v>
      </c>
      <c r="J65" s="79">
        <f>Table1[[#This Row],[Resident Credit FTES]]+Table1[[#This Row],[NONResident Credit FTES2]]</f>
        <v>24976.17</v>
      </c>
      <c r="K65" s="77">
        <f>SUM(Table1[[#This Row],[Resident Credit FTES]:[NONResident Noncredit FTES3]])</f>
        <v>28190.45</v>
      </c>
      <c r="L65" s="73">
        <f>Table1[[#This Row],[2018-19 Expense of Education*]]/Table1[[#This Row],[2018-19 Total FTES]]</f>
        <v>7833.73191985229</v>
      </c>
      <c r="M65" s="69" t="s">
        <v>28</v>
      </c>
      <c r="O65" s="74" t="s">
        <v>198</v>
      </c>
    </row>
    <row r="66" spans="2:15" ht="15.75">
      <c r="B66" s="69" t="s">
        <v>126</v>
      </c>
      <c r="C66" s="106">
        <v>119454451</v>
      </c>
      <c r="D66" s="70">
        <v>14463.53</v>
      </c>
      <c r="E66" s="70">
        <v>230.76</v>
      </c>
      <c r="F66" s="70">
        <v>387.46</v>
      </c>
      <c r="G66" s="70">
        <v>0</v>
      </c>
      <c r="H66" s="70">
        <f>Table1[[#This Row],[NONResident Noncredit FTES3]]+Table1[[#This Row],[Resident Noncredit FTES]]</f>
        <v>230.76</v>
      </c>
      <c r="I66" s="71">
        <f>Table1[[#This Row],[Total Noncredit]]/Table1[[#This Row],[2018-19 Total FTES]]</f>
        <v>1.5300611666418022E-2</v>
      </c>
      <c r="J66" s="72">
        <f>Table1[[#This Row],[Resident Credit FTES]]+Table1[[#This Row],[NONResident Credit FTES2]]</f>
        <v>14850.99</v>
      </c>
      <c r="K66" s="70">
        <f>SUM(Table1[[#This Row],[Resident Credit FTES]:[NONResident Noncredit FTES3]])</f>
        <v>15081.75</v>
      </c>
      <c r="L66" s="73">
        <f>Table1[[#This Row],[2018-19 Expense of Education*]]/Table1[[#This Row],[2018-19 Total FTES]]</f>
        <v>7920.4635403716411</v>
      </c>
      <c r="M66" s="69" t="s">
        <v>28</v>
      </c>
      <c r="O66" s="75" t="s">
        <v>199</v>
      </c>
    </row>
    <row r="67" spans="2:15" ht="15.75">
      <c r="B67" s="69" t="s">
        <v>127</v>
      </c>
      <c r="C67" s="106">
        <v>232200985</v>
      </c>
      <c r="D67" s="77">
        <v>30646.7</v>
      </c>
      <c r="E67" s="77">
        <v>457.85</v>
      </c>
      <c r="F67" s="77">
        <v>314.22000000000003</v>
      </c>
      <c r="G67" s="77">
        <v>50.46</v>
      </c>
      <c r="H67" s="77">
        <f>Table1[[#This Row],[NONResident Noncredit FTES3]]+Table1[[#This Row],[Resident Noncredit FTES]]</f>
        <v>508.31</v>
      </c>
      <c r="I67" s="78">
        <f>Table1[[#This Row],[Total Noncredit]]/Table1[[#This Row],[2018-19 Total FTES]]</f>
        <v>1.6152603670315416E-2</v>
      </c>
      <c r="J67" s="79">
        <f>Table1[[#This Row],[Resident Credit FTES]]+Table1[[#This Row],[NONResident Credit FTES2]]</f>
        <v>30960.920000000002</v>
      </c>
      <c r="K67" s="77">
        <f>SUM(Table1[[#This Row],[Resident Credit FTES]:[NONResident Noncredit FTES3]])</f>
        <v>31469.23</v>
      </c>
      <c r="L67" s="73">
        <f>Table1[[#This Row],[2018-19 Expense of Education*]]/Table1[[#This Row],[2018-19 Total FTES]]</f>
        <v>7378.6675110894039</v>
      </c>
      <c r="M67" s="69" t="s">
        <v>28</v>
      </c>
      <c r="O67" s="74" t="s">
        <v>200</v>
      </c>
    </row>
    <row r="68" spans="2:15" ht="15.75">
      <c r="B68" s="69" t="s">
        <v>128</v>
      </c>
      <c r="C68" s="106">
        <v>194759334</v>
      </c>
      <c r="D68" s="77">
        <v>25120.68</v>
      </c>
      <c r="E68" s="77">
        <v>118.29</v>
      </c>
      <c r="F68" s="77">
        <v>332.64</v>
      </c>
      <c r="G68" s="77">
        <v>0</v>
      </c>
      <c r="H68" s="77">
        <f>Table1[[#This Row],[NONResident Noncredit FTES3]]+Table1[[#This Row],[Resident Noncredit FTES]]</f>
        <v>118.29</v>
      </c>
      <c r="I68" s="78">
        <f>Table1[[#This Row],[Total Noncredit]]/Table1[[#This Row],[2018-19 Total FTES]]</f>
        <v>4.6258331016310666E-3</v>
      </c>
      <c r="J68" s="79">
        <f>Table1[[#This Row],[Resident Credit FTES]]+Table1[[#This Row],[NONResident Credit FTES2]]</f>
        <v>25453.32</v>
      </c>
      <c r="K68" s="77">
        <f>SUM(Table1[[#This Row],[Resident Credit FTES]:[NONResident Noncredit FTES3]])</f>
        <v>25571.61</v>
      </c>
      <c r="L68" s="73">
        <f>Table1[[#This Row],[2018-19 Expense of Education*]]/Table1[[#This Row],[2018-19 Total FTES]]</f>
        <v>7616.2327675105316</v>
      </c>
      <c r="M68" s="69" t="s">
        <v>28</v>
      </c>
      <c r="O68" s="74" t="s">
        <v>201</v>
      </c>
    </row>
    <row r="69" spans="2:15" ht="15.75">
      <c r="B69" s="69" t="s">
        <v>129</v>
      </c>
      <c r="C69" s="106">
        <v>85848843</v>
      </c>
      <c r="D69" s="70">
        <v>9107.08</v>
      </c>
      <c r="E69" s="70">
        <v>83.83</v>
      </c>
      <c r="F69" s="70">
        <v>309.26</v>
      </c>
      <c r="G69" s="70">
        <v>17.670000000000002</v>
      </c>
      <c r="H69" s="70">
        <f>Table1[[#This Row],[NONResident Noncredit FTES3]]+Table1[[#This Row],[Resident Noncredit FTES]]</f>
        <v>101.5</v>
      </c>
      <c r="I69" s="71">
        <f>Table1[[#This Row],[Total Noncredit]]/Table1[[#This Row],[2018-19 Total FTES]]</f>
        <v>1.0664184310725962E-2</v>
      </c>
      <c r="J69" s="72">
        <f>Table1[[#This Row],[Resident Credit FTES]]+Table1[[#This Row],[NONResident Credit FTES2]]</f>
        <v>9416.34</v>
      </c>
      <c r="K69" s="70">
        <f>SUM(Table1[[#This Row],[Resident Credit FTES]:[NONResident Noncredit FTES3]])</f>
        <v>9517.84</v>
      </c>
      <c r="L69" s="73">
        <f>Table1[[#This Row],[2018-19 Expense of Education*]]/Table1[[#This Row],[2018-19 Total FTES]]</f>
        <v>9019.7821144293248</v>
      </c>
      <c r="M69" s="69" t="s">
        <v>28</v>
      </c>
      <c r="O69" s="75" t="s">
        <v>202</v>
      </c>
    </row>
    <row r="70" spans="2:15" ht="15.75">
      <c r="B70" s="69" t="s">
        <v>130</v>
      </c>
      <c r="C70" s="106">
        <v>50863341</v>
      </c>
      <c r="D70" s="77">
        <v>5794.42</v>
      </c>
      <c r="E70" s="77">
        <v>447.62</v>
      </c>
      <c r="F70" s="77">
        <v>189.45</v>
      </c>
      <c r="G70" s="77">
        <v>9.74</v>
      </c>
      <c r="H70" s="77">
        <f>Table1[[#This Row],[NONResident Noncredit FTES3]]+Table1[[#This Row],[Resident Noncredit FTES]]</f>
        <v>457.36</v>
      </c>
      <c r="I70" s="78">
        <f>Table1[[#This Row],[Total Noncredit]]/Table1[[#This Row],[2018-19 Total FTES]]</f>
        <v>7.1005072012643555E-2</v>
      </c>
      <c r="J70" s="79">
        <f>Table1[[#This Row],[Resident Credit FTES]]+Table1[[#This Row],[NONResident Credit FTES2]]</f>
        <v>5983.87</v>
      </c>
      <c r="K70" s="77">
        <f>SUM(Table1[[#This Row],[Resident Credit FTES]:[NONResident Noncredit FTES3]])</f>
        <v>6441.23</v>
      </c>
      <c r="L70" s="73">
        <f>Table1[[#This Row],[2018-19 Expense of Education*]]/Table1[[#This Row],[2018-19 Total FTES]]</f>
        <v>7896.526129326232</v>
      </c>
      <c r="M70" s="69" t="s">
        <v>28</v>
      </c>
      <c r="O70" s="74" t="s">
        <v>203</v>
      </c>
    </row>
    <row r="71" spans="2:15" ht="15.75">
      <c r="B71" s="69" t="s">
        <v>131</v>
      </c>
      <c r="C71" s="106">
        <v>27969443</v>
      </c>
      <c r="D71" s="70">
        <v>2909.04</v>
      </c>
      <c r="E71" s="70">
        <v>0</v>
      </c>
      <c r="F71" s="70">
        <v>80.89</v>
      </c>
      <c r="G71" s="70">
        <v>0</v>
      </c>
      <c r="H71" s="70">
        <f>Table1[[#This Row],[NONResident Noncredit FTES3]]+Table1[[#This Row],[Resident Noncredit FTES]]</f>
        <v>0</v>
      </c>
      <c r="I71" s="71">
        <f>Table1[[#This Row],[Total Noncredit]]/Table1[[#This Row],[2018-19 Total FTES]]</f>
        <v>0</v>
      </c>
      <c r="J71" s="72">
        <f>Table1[[#This Row],[Resident Credit FTES]]+Table1[[#This Row],[NONResident Credit FTES2]]</f>
        <v>2989.93</v>
      </c>
      <c r="K71" s="70">
        <f>SUM(Table1[[#This Row],[Resident Credit FTES]:[NONResident Noncredit FTES3]])</f>
        <v>2989.93</v>
      </c>
      <c r="L71" s="73">
        <f>Table1[[#This Row],[2018-19 Expense of Education*]]/Table1[[#This Row],[2018-19 Total FTES]]</f>
        <v>9354.5477653322996</v>
      </c>
      <c r="M71" s="69" t="s">
        <v>28</v>
      </c>
      <c r="O71" s="75" t="s">
        <v>204</v>
      </c>
    </row>
    <row r="72" spans="2:15" ht="15.75">
      <c r="B72" s="69" t="s">
        <v>132</v>
      </c>
      <c r="C72" s="106">
        <v>135880378</v>
      </c>
      <c r="D72" s="77">
        <v>10105.41</v>
      </c>
      <c r="E72" s="77">
        <v>971.72</v>
      </c>
      <c r="F72" s="77">
        <v>378.1</v>
      </c>
      <c r="G72" s="77">
        <v>0</v>
      </c>
      <c r="H72" s="77">
        <f>Table1[[#This Row],[NONResident Noncredit FTES3]]+Table1[[#This Row],[Resident Noncredit FTES]]</f>
        <v>971.72</v>
      </c>
      <c r="I72" s="78">
        <f>Table1[[#This Row],[Total Noncredit]]/Table1[[#This Row],[2018-19 Total FTES]]</f>
        <v>8.4827628952015816E-2</v>
      </c>
      <c r="J72" s="79">
        <f>Table1[[#This Row],[Resident Credit FTES]]+Table1[[#This Row],[NONResident Credit FTES2]]</f>
        <v>10483.51</v>
      </c>
      <c r="K72" s="77">
        <f>SUM(Table1[[#This Row],[Resident Credit FTES]:[NONResident Noncredit FTES3]])</f>
        <v>11455.23</v>
      </c>
      <c r="L72" s="73">
        <f>Table1[[#This Row],[2018-19 Expense of Education*]]/Table1[[#This Row],[2018-19 Total FTES]]</f>
        <v>11861.863794965269</v>
      </c>
      <c r="M72" s="69" t="s">
        <v>28</v>
      </c>
      <c r="O72" s="74" t="s">
        <v>205</v>
      </c>
    </row>
    <row r="73" spans="2:15" ht="15.75">
      <c r="B73" s="69" t="s">
        <v>133</v>
      </c>
      <c r="C73" s="106">
        <v>139569281</v>
      </c>
      <c r="D73" s="77">
        <v>15482.09</v>
      </c>
      <c r="E73" s="77">
        <v>490.67</v>
      </c>
      <c r="F73" s="77">
        <v>110.82</v>
      </c>
      <c r="G73" s="77">
        <v>145.83000000000001</v>
      </c>
      <c r="H73" s="77">
        <f>Table1[[#This Row],[NONResident Noncredit FTES3]]+Table1[[#This Row],[Resident Noncredit FTES]]</f>
        <v>636.5</v>
      </c>
      <c r="I73" s="78">
        <f>Table1[[#This Row],[Total Noncredit]]/Table1[[#This Row],[2018-19 Total FTES]]</f>
        <v>3.9218924162985593E-2</v>
      </c>
      <c r="J73" s="79">
        <f>Table1[[#This Row],[Resident Credit FTES]]+Table1[[#This Row],[NONResident Credit FTES2]]</f>
        <v>15592.91</v>
      </c>
      <c r="K73" s="77">
        <f>SUM(Table1[[#This Row],[Resident Credit FTES]:[NONResident Noncredit FTES3]])</f>
        <v>16229.41</v>
      </c>
      <c r="L73" s="73">
        <f>Table1[[#This Row],[2018-19 Expense of Education*]]/Table1[[#This Row],[2018-19 Total FTES]]</f>
        <v>8599.7754077320133</v>
      </c>
      <c r="M73" s="69" t="s">
        <v>28</v>
      </c>
      <c r="O73" s="75" t="s">
        <v>206</v>
      </c>
    </row>
    <row r="74" spans="2:15" ht="15.75">
      <c r="B74" s="69" t="s">
        <v>134</v>
      </c>
      <c r="C74" s="106">
        <v>64610944</v>
      </c>
      <c r="D74" s="77">
        <v>7210.5</v>
      </c>
      <c r="E74" s="77">
        <v>208.17</v>
      </c>
      <c r="F74" s="77">
        <v>122.22</v>
      </c>
      <c r="G74" s="77">
        <v>0</v>
      </c>
      <c r="H74" s="77">
        <f>Table1[[#This Row],[NONResident Noncredit FTES3]]+Table1[[#This Row],[Resident Noncredit FTES]]</f>
        <v>208.17</v>
      </c>
      <c r="I74" s="78">
        <f>Table1[[#This Row],[Total Noncredit]]/Table1[[#This Row],[2018-19 Total FTES]]</f>
        <v>2.7605494842120756E-2</v>
      </c>
      <c r="J74" s="79">
        <f>Table1[[#This Row],[Resident Credit FTES]]+Table1[[#This Row],[NONResident Credit FTES2]]</f>
        <v>7332.72</v>
      </c>
      <c r="K74" s="77">
        <f>SUM(Table1[[#This Row],[Resident Credit FTES]:[NONResident Noncredit FTES3]])</f>
        <v>7540.89</v>
      </c>
      <c r="L74" s="73">
        <f>Table1[[#This Row],[2018-19 Expense of Education*]]/Table1[[#This Row],[2018-19 Total FTES]]</f>
        <v>8568.0793646373295</v>
      </c>
      <c r="M74" s="69" t="s">
        <v>28</v>
      </c>
    </row>
    <row r="75" spans="2:15">
      <c r="C75" s="80"/>
      <c r="D75" s="80"/>
      <c r="E75" s="80"/>
      <c r="F75" s="80"/>
      <c r="G75" s="80"/>
      <c r="H75" s="80"/>
      <c r="I75" s="81"/>
      <c r="J75" s="82"/>
      <c r="K75" s="80"/>
    </row>
    <row r="76" spans="2:15">
      <c r="B76" s="12" t="s">
        <v>284</v>
      </c>
      <c r="C76" s="80"/>
      <c r="D76" s="80"/>
      <c r="E76" s="80"/>
      <c r="F76" s="80"/>
      <c r="G76" s="80"/>
      <c r="H76" s="80"/>
      <c r="I76" s="81"/>
      <c r="J76" s="82"/>
      <c r="K76" s="80"/>
    </row>
    <row r="77" spans="2:15" ht="14.45" customHeight="1">
      <c r="B77" s="12" t="s">
        <v>1</v>
      </c>
      <c r="I77" s="12"/>
      <c r="J77" s="12"/>
      <c r="L77" s="12"/>
    </row>
    <row r="78" spans="2:15">
      <c r="B78" s="12" t="s">
        <v>2</v>
      </c>
      <c r="C78" s="80"/>
      <c r="D78" s="80"/>
      <c r="E78" s="80"/>
      <c r="F78" s="80"/>
      <c r="G78" s="80"/>
      <c r="H78" s="80"/>
      <c r="I78" s="81"/>
      <c r="J78" s="82"/>
      <c r="K78" s="80"/>
    </row>
  </sheetData>
  <sheetProtection selectLockedCells="1" selectUnlockedCells="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0"/>
  <sheetViews>
    <sheetView topLeftCell="A20" zoomScale="120" zoomScaleNormal="120" workbookViewId="0">
      <selection activeCell="B20" sqref="B20:G20"/>
    </sheetView>
  </sheetViews>
  <sheetFormatPr defaultColWidth="8.875" defaultRowHeight="13.5"/>
  <cols>
    <col min="1" max="2" width="8.875" style="87"/>
    <col min="3" max="3" width="13.3125" style="87" customWidth="1"/>
    <col min="4" max="4" width="15.3125" style="87" customWidth="1"/>
    <col min="5" max="6" width="17.875" style="87" customWidth="1"/>
    <col min="7" max="7" width="27.875" style="87" customWidth="1"/>
    <col min="8" max="11" width="8.875" style="87"/>
    <col min="12" max="12" width="6.5625" style="87" customWidth="1"/>
    <col min="13" max="13" width="16.5625" style="87" customWidth="1"/>
    <col min="14" max="14" width="12.3125" style="87" customWidth="1"/>
    <col min="15" max="15" width="15.875" style="87" customWidth="1"/>
    <col min="16" max="16384" width="8.875" style="87"/>
  </cols>
  <sheetData>
    <row r="2" spans="1:7" ht="13.9">
      <c r="A2" s="86" t="s">
        <v>61</v>
      </c>
    </row>
    <row r="3" spans="1:7">
      <c r="B3" s="125" t="s">
        <v>221</v>
      </c>
      <c r="C3" s="125"/>
      <c r="D3" s="125"/>
      <c r="E3" s="125"/>
      <c r="F3" s="125"/>
      <c r="G3" s="125"/>
    </row>
    <row r="4" spans="1:7" ht="23" customHeight="1">
      <c r="B4" s="124" t="s">
        <v>224</v>
      </c>
      <c r="C4" s="124"/>
      <c r="D4" s="124"/>
      <c r="E4" s="124"/>
      <c r="F4" s="124"/>
      <c r="G4" s="124"/>
    </row>
    <row r="6" spans="1:7">
      <c r="B6" s="1" t="s">
        <v>210</v>
      </c>
    </row>
    <row r="7" spans="1:7">
      <c r="B7" s="88" t="s">
        <v>208</v>
      </c>
    </row>
    <row r="8" spans="1:7">
      <c r="B8" s="87" t="s">
        <v>209</v>
      </c>
    </row>
    <row r="9" spans="1:7">
      <c r="B9" s="87" t="s">
        <v>211</v>
      </c>
    </row>
    <row r="10" spans="1:7">
      <c r="B10" s="87" t="s">
        <v>215</v>
      </c>
    </row>
    <row r="11" spans="1:7">
      <c r="B11" s="1" t="s">
        <v>212</v>
      </c>
    </row>
    <row r="13" spans="1:7" ht="27.75">
      <c r="B13" s="90"/>
      <c r="C13" s="91" t="s">
        <v>220</v>
      </c>
      <c r="D13" s="91" t="s">
        <v>219</v>
      </c>
      <c r="E13" s="91" t="s">
        <v>218</v>
      </c>
    </row>
    <row r="14" spans="1:7">
      <c r="B14" s="92" t="s">
        <v>213</v>
      </c>
      <c r="C14" s="93" t="s">
        <v>214</v>
      </c>
      <c r="D14" s="93" t="s">
        <v>25</v>
      </c>
      <c r="E14" s="93">
        <v>1.024</v>
      </c>
    </row>
    <row r="15" spans="1:7">
      <c r="B15" s="92" t="s">
        <v>217</v>
      </c>
      <c r="C15" s="93" t="s">
        <v>216</v>
      </c>
      <c r="D15" s="93" t="s">
        <v>283</v>
      </c>
      <c r="E15" s="93">
        <v>1.018</v>
      </c>
    </row>
    <row r="16" spans="1:7" ht="13.9">
      <c r="B16" s="94" t="s">
        <v>226</v>
      </c>
      <c r="C16" s="95" t="s">
        <v>223</v>
      </c>
      <c r="D16" s="95"/>
      <c r="E16" s="95">
        <f>ROUND((E14*E15),3)</f>
        <v>1.042</v>
      </c>
    </row>
    <row r="17" spans="1:7" ht="13.9">
      <c r="B17" s="1"/>
      <c r="C17" s="2"/>
      <c r="D17" s="2"/>
      <c r="E17" s="2"/>
      <c r="F17" s="1"/>
      <c r="G17" s="1"/>
    </row>
    <row r="18" spans="1:7" ht="13.9">
      <c r="A18" s="2" t="s">
        <v>52</v>
      </c>
    </row>
    <row r="19" spans="1:7" ht="66" customHeight="1">
      <c r="B19" s="124" t="s">
        <v>241</v>
      </c>
      <c r="C19" s="124"/>
      <c r="D19" s="124"/>
      <c r="E19" s="124"/>
      <c r="F19" s="124"/>
      <c r="G19" s="124"/>
    </row>
    <row r="20" spans="1:7" ht="57" customHeight="1">
      <c r="B20" s="124" t="s">
        <v>285</v>
      </c>
      <c r="C20" s="124"/>
      <c r="D20" s="124"/>
      <c r="E20" s="124"/>
      <c r="F20" s="124"/>
      <c r="G20" s="124"/>
    </row>
    <row r="22" spans="1:7">
      <c r="B22" s="87" t="s">
        <v>225</v>
      </c>
    </row>
    <row r="23" spans="1:7">
      <c r="B23" s="89" t="s">
        <v>227</v>
      </c>
    </row>
    <row r="25" spans="1:7" ht="40.25" customHeight="1">
      <c r="B25" s="124" t="s">
        <v>242</v>
      </c>
      <c r="C25" s="124"/>
      <c r="D25" s="124"/>
      <c r="E25" s="124"/>
      <c r="F25" s="124"/>
      <c r="G25" s="124"/>
    </row>
    <row r="27" spans="1:7" ht="41.65">
      <c r="C27" s="95" t="s">
        <v>62</v>
      </c>
      <c r="D27" s="91" t="s">
        <v>228</v>
      </c>
    </row>
    <row r="28" spans="1:7">
      <c r="C28" s="93" t="s">
        <v>229</v>
      </c>
      <c r="D28" s="83">
        <v>292</v>
      </c>
    </row>
    <row r="29" spans="1:7">
      <c r="C29" s="93" t="s">
        <v>230</v>
      </c>
      <c r="D29" s="83">
        <v>188</v>
      </c>
    </row>
    <row r="30" spans="1:7">
      <c r="C30" s="93" t="s">
        <v>231</v>
      </c>
      <c r="D30" s="83">
        <v>557</v>
      </c>
    </row>
    <row r="31" spans="1:7">
      <c r="C31" s="93" t="s">
        <v>232</v>
      </c>
      <c r="D31" s="83">
        <v>580</v>
      </c>
    </row>
    <row r="32" spans="1:7">
      <c r="C32" s="93" t="s">
        <v>233</v>
      </c>
      <c r="D32" s="83">
        <v>266</v>
      </c>
    </row>
    <row r="33" spans="3:4">
      <c r="C33" s="93" t="s">
        <v>234</v>
      </c>
      <c r="D33" s="83">
        <v>414</v>
      </c>
    </row>
    <row r="34" spans="3:4">
      <c r="C34" s="93" t="s">
        <v>235</v>
      </c>
      <c r="D34" s="83">
        <v>311</v>
      </c>
    </row>
    <row r="35" spans="3:4">
      <c r="C35" s="93" t="s">
        <v>236</v>
      </c>
      <c r="D35" s="83">
        <v>256</v>
      </c>
    </row>
    <row r="36" spans="3:4">
      <c r="C36" s="93" t="s">
        <v>237</v>
      </c>
      <c r="D36" s="83">
        <v>789</v>
      </c>
    </row>
    <row r="37" spans="3:4">
      <c r="C37" s="93" t="s">
        <v>238</v>
      </c>
      <c r="D37" s="83">
        <v>738</v>
      </c>
    </row>
    <row r="38" spans="3:4">
      <c r="C38" s="93" t="s">
        <v>239</v>
      </c>
      <c r="D38" s="83">
        <v>464</v>
      </c>
    </row>
    <row r="39" spans="3:4">
      <c r="C39" s="93" t="s">
        <v>240</v>
      </c>
      <c r="D39" s="83">
        <v>345</v>
      </c>
    </row>
    <row r="40" spans="3:4" ht="13.9">
      <c r="C40" s="96" t="s">
        <v>243</v>
      </c>
      <c r="D40" s="97">
        <f>(SUM(D28:D39)/COUNT(D28:D39))</f>
        <v>433.33333333333331</v>
      </c>
    </row>
  </sheetData>
  <sheetProtection selectLockedCells="1"/>
  <mergeCells count="5">
    <mergeCell ref="B25:G25"/>
    <mergeCell ref="B3:G3"/>
    <mergeCell ref="B4:G4"/>
    <mergeCell ref="B19:G19"/>
    <mergeCell ref="B20:G20"/>
  </mergeCells>
  <hyperlinks>
    <hyperlink ref="B7" r:id="rId1"/>
    <hyperlink ref="B23" r:id="rId2"/>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Nonresident Fee Wrksht &amp; Form</vt:lpstr>
      <vt:lpstr>Data Table</vt:lpstr>
      <vt:lpstr>CPI &amp; 12 State Average Info</vt:lpstr>
      <vt:lpstr>'Nonresident Fee Wrksht &amp; Form'!Print_Area</vt:lpstr>
    </vt:vector>
  </TitlesOfParts>
  <Company>CCCCO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Finche, Wrenna</dc:creator>
  <cp:lastModifiedBy>Lina Chen</cp:lastModifiedBy>
  <cp:lastPrinted>2018-12-21T20:24:57Z</cp:lastPrinted>
  <dcterms:created xsi:type="dcterms:W3CDTF">2018-12-11T19:09:16Z</dcterms:created>
  <dcterms:modified xsi:type="dcterms:W3CDTF">2019-12-17T23:00:23Z</dcterms:modified>
</cp:coreProperties>
</file>