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croggins\Documents\Cabinet\2017-18\052218\"/>
    </mc:Choice>
  </mc:AlternateContent>
  <bookViews>
    <workbookView xWindow="0" yWindow="0" windowWidth="9580" windowHeight="4340" activeTab="2"/>
  </bookViews>
  <sheets>
    <sheet name="MacroInformation" sheetId="1" r:id="rId1"/>
    <sheet name="WeightingFactors" sheetId="13" r:id="rId2"/>
    <sheet name="Allocations" sheetId="14" r:id="rId3"/>
    <sheet name="Base $" sheetId="18" r:id="rId4"/>
    <sheet name="Supplement $" sheetId="15" r:id="rId5"/>
    <sheet name="Success $" sheetId="17" r:id="rId6"/>
    <sheet name="DATADefinitions" sheetId="20" r:id="rId7"/>
    <sheet name="Base-AllFTES Data" sheetId="11" r:id="rId8"/>
    <sheet name="2018-19FTESAssumptions" sheetId="21" r:id="rId9"/>
    <sheet name="Base-BasicAllocations" sheetId="12" r:id="rId10"/>
    <sheet name="FTESRateCalc" sheetId="19" r:id="rId11"/>
    <sheet name="Supplemental Data" sheetId="5" r:id="rId12"/>
    <sheet name="Success Data" sheetId="6" r:id="rId13"/>
    <sheet name="Combo Data" sheetId="7" r:id="rId14"/>
  </sheets>
  <definedNames>
    <definedName name="_xlnm._FilterDatabase" localSheetId="2" hidden="1">Allocations!$A$2:$O$74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3" l="1"/>
  <c r="I3" i="13" l="1"/>
  <c r="L6" i="19" l="1"/>
  <c r="G6" i="19"/>
  <c r="E6" i="19"/>
  <c r="H6" i="19" s="1"/>
  <c r="D6" i="19"/>
  <c r="J6" i="19" s="1"/>
  <c r="M6" i="19" s="1"/>
  <c r="C6" i="19"/>
  <c r="B6" i="19"/>
  <c r="L5" i="19"/>
  <c r="G5" i="19"/>
  <c r="E5" i="19"/>
  <c r="H5" i="19" s="1"/>
  <c r="C5" i="19"/>
  <c r="D5" i="19" s="1"/>
  <c r="J5" i="19" s="1"/>
  <c r="M5" i="19" s="1"/>
  <c r="J4" i="19"/>
  <c r="M4" i="19" s="1"/>
  <c r="H4" i="19"/>
  <c r="D4" i="19"/>
  <c r="B76" i="14" l="1"/>
  <c r="M78" i="18" l="1"/>
  <c r="C41" i="13" l="1"/>
  <c r="C40" i="13"/>
  <c r="C39" i="13"/>
  <c r="C38" i="13"/>
  <c r="C37" i="13"/>
  <c r="C36" i="13"/>
  <c r="C76" i="7"/>
  <c r="D76" i="7"/>
  <c r="E76" i="7"/>
  <c r="F76" i="7"/>
  <c r="G76" i="7"/>
  <c r="H76" i="7"/>
  <c r="B76" i="7"/>
  <c r="C35" i="13"/>
  <c r="C28" i="13"/>
  <c r="C27" i="13"/>
  <c r="C26" i="13"/>
  <c r="AM75" i="6"/>
  <c r="AG75" i="6"/>
  <c r="AA75" i="6"/>
  <c r="U75" i="6"/>
  <c r="O75" i="6"/>
  <c r="I75" i="6"/>
  <c r="AL75" i="6"/>
  <c r="AN75" i="6"/>
  <c r="AO75" i="6"/>
  <c r="AP75" i="6"/>
  <c r="X75" i="6"/>
  <c r="Z75" i="6"/>
  <c r="AB75" i="6"/>
  <c r="AC75" i="6"/>
  <c r="AD75" i="6"/>
  <c r="AF75" i="6"/>
  <c r="AH75" i="6"/>
  <c r="AI75" i="6"/>
  <c r="AJ75" i="6"/>
  <c r="P75" i="6"/>
  <c r="C24" i="13" s="1"/>
  <c r="Q75" i="6"/>
  <c r="R75" i="6"/>
  <c r="T75" i="6"/>
  <c r="V75" i="6"/>
  <c r="C25" i="13" s="1"/>
  <c r="W75" i="6"/>
  <c r="N75" i="6"/>
  <c r="J75" i="6"/>
  <c r="K75" i="6"/>
  <c r="L75" i="6"/>
  <c r="C23" i="13"/>
  <c r="E75" i="6"/>
  <c r="F75" i="6"/>
  <c r="H75" i="6"/>
  <c r="D75" i="6"/>
  <c r="C75" i="6"/>
  <c r="B75" i="6"/>
  <c r="C22" i="13"/>
  <c r="C13" i="13"/>
  <c r="C12" i="13"/>
  <c r="D30" i="1" l="1"/>
  <c r="D31" i="1"/>
  <c r="U12" i="12" s="1"/>
  <c r="D29" i="1"/>
  <c r="I8" i="12" s="1"/>
  <c r="D83" i="14" l="1"/>
  <c r="I41" i="13"/>
  <c r="U4" i="12"/>
  <c r="U68" i="12"/>
  <c r="U60" i="12"/>
  <c r="U52" i="12"/>
  <c r="U44" i="12"/>
  <c r="U36" i="12"/>
  <c r="U28" i="12"/>
  <c r="U20" i="12"/>
  <c r="O4" i="12"/>
  <c r="O68" i="12"/>
  <c r="O60" i="12"/>
  <c r="O52" i="12"/>
  <c r="O44" i="12"/>
  <c r="O36" i="12"/>
  <c r="O28" i="12"/>
  <c r="O20" i="12"/>
  <c r="O12" i="12"/>
  <c r="I4" i="12"/>
  <c r="I68" i="12"/>
  <c r="I60" i="12"/>
  <c r="I52" i="12"/>
  <c r="I44" i="12"/>
  <c r="I36" i="12"/>
  <c r="I28" i="12"/>
  <c r="I20" i="12"/>
  <c r="I12" i="12"/>
  <c r="D84" i="14"/>
  <c r="I42" i="13"/>
  <c r="U75" i="12"/>
  <c r="U67" i="12"/>
  <c r="U59" i="12"/>
  <c r="U51" i="12"/>
  <c r="U43" i="12"/>
  <c r="U35" i="12"/>
  <c r="U27" i="12"/>
  <c r="U19" i="12"/>
  <c r="U11" i="12"/>
  <c r="O75" i="12"/>
  <c r="O67" i="12"/>
  <c r="O59" i="12"/>
  <c r="O51" i="12"/>
  <c r="O43" i="12"/>
  <c r="O35" i="12"/>
  <c r="O27" i="12"/>
  <c r="O19" i="12"/>
  <c r="O11" i="12"/>
  <c r="I75" i="12"/>
  <c r="I67" i="12"/>
  <c r="I59" i="12"/>
  <c r="I51" i="12"/>
  <c r="I43" i="12"/>
  <c r="I35" i="12"/>
  <c r="I27" i="12"/>
  <c r="I19" i="12"/>
  <c r="I11" i="12"/>
  <c r="U74" i="12"/>
  <c r="U66" i="12"/>
  <c r="U58" i="12"/>
  <c r="U50" i="12"/>
  <c r="U42" i="12"/>
  <c r="U34" i="12"/>
  <c r="U26" i="12"/>
  <c r="U18" i="12"/>
  <c r="U10" i="12"/>
  <c r="O74" i="12"/>
  <c r="O66" i="12"/>
  <c r="O58" i="12"/>
  <c r="O50" i="12"/>
  <c r="O42" i="12"/>
  <c r="O34" i="12"/>
  <c r="O26" i="12"/>
  <c r="O18" i="12"/>
  <c r="O10" i="12"/>
  <c r="I74" i="12"/>
  <c r="I66" i="12"/>
  <c r="I58" i="12"/>
  <c r="I50" i="12"/>
  <c r="I42" i="12"/>
  <c r="I34" i="12"/>
  <c r="I26" i="12"/>
  <c r="I18" i="12"/>
  <c r="I10" i="12"/>
  <c r="U73" i="12"/>
  <c r="U65" i="12"/>
  <c r="U57" i="12"/>
  <c r="U49" i="12"/>
  <c r="U41" i="12"/>
  <c r="U33" i="12"/>
  <c r="U25" i="12"/>
  <c r="U17" i="12"/>
  <c r="U9" i="12"/>
  <c r="O73" i="12"/>
  <c r="O65" i="12"/>
  <c r="O57" i="12"/>
  <c r="O49" i="12"/>
  <c r="O41" i="12"/>
  <c r="O33" i="12"/>
  <c r="O25" i="12"/>
  <c r="O17" i="12"/>
  <c r="O9" i="12"/>
  <c r="I73" i="12"/>
  <c r="I65" i="12"/>
  <c r="I57" i="12"/>
  <c r="I49" i="12"/>
  <c r="I41" i="12"/>
  <c r="I33" i="12"/>
  <c r="I25" i="12"/>
  <c r="I17" i="12"/>
  <c r="I9" i="12"/>
  <c r="U72" i="12"/>
  <c r="U64" i="12"/>
  <c r="U56" i="12"/>
  <c r="U48" i="12"/>
  <c r="U40" i="12"/>
  <c r="U32" i="12"/>
  <c r="U24" i="12"/>
  <c r="U16" i="12"/>
  <c r="U8" i="12"/>
  <c r="O72" i="12"/>
  <c r="O64" i="12"/>
  <c r="O56" i="12"/>
  <c r="O48" i="12"/>
  <c r="O40" i="12"/>
  <c r="O32" i="12"/>
  <c r="O24" i="12"/>
  <c r="O16" i="12"/>
  <c r="O8" i="12"/>
  <c r="I72" i="12"/>
  <c r="I64" i="12"/>
  <c r="I56" i="12"/>
  <c r="I48" i="12"/>
  <c r="I40" i="12"/>
  <c r="I32" i="12"/>
  <c r="I24" i="12"/>
  <c r="I16" i="12"/>
  <c r="D82" i="14"/>
  <c r="I40" i="13"/>
  <c r="U71" i="12"/>
  <c r="U63" i="12"/>
  <c r="U55" i="12"/>
  <c r="U47" i="12"/>
  <c r="U39" i="12"/>
  <c r="U31" i="12"/>
  <c r="U23" i="12"/>
  <c r="U15" i="12"/>
  <c r="U7" i="12"/>
  <c r="O71" i="12"/>
  <c r="O63" i="12"/>
  <c r="O55" i="12"/>
  <c r="O47" i="12"/>
  <c r="O39" i="12"/>
  <c r="O31" i="12"/>
  <c r="O23" i="12"/>
  <c r="O15" i="12"/>
  <c r="O7" i="12"/>
  <c r="I71" i="12"/>
  <c r="I63" i="12"/>
  <c r="I55" i="12"/>
  <c r="I47" i="12"/>
  <c r="I39" i="12"/>
  <c r="I31" i="12"/>
  <c r="I23" i="12"/>
  <c r="I15" i="12"/>
  <c r="I7" i="12"/>
  <c r="U70" i="12"/>
  <c r="U62" i="12"/>
  <c r="U54" i="12"/>
  <c r="U46" i="12"/>
  <c r="U38" i="12"/>
  <c r="U30" i="12"/>
  <c r="U22" i="12"/>
  <c r="U14" i="12"/>
  <c r="U6" i="12"/>
  <c r="O70" i="12"/>
  <c r="O62" i="12"/>
  <c r="O54" i="12"/>
  <c r="O46" i="12"/>
  <c r="O38" i="12"/>
  <c r="O30" i="12"/>
  <c r="O22" i="12"/>
  <c r="O14" i="12"/>
  <c r="O6" i="12"/>
  <c r="I70" i="12"/>
  <c r="I62" i="12"/>
  <c r="I54" i="12"/>
  <c r="I46" i="12"/>
  <c r="I38" i="12"/>
  <c r="I30" i="12"/>
  <c r="I22" i="12"/>
  <c r="I14" i="12"/>
  <c r="I6" i="12"/>
  <c r="U69" i="12"/>
  <c r="U61" i="12"/>
  <c r="U53" i="12"/>
  <c r="U45" i="12"/>
  <c r="U37" i="12"/>
  <c r="U29" i="12"/>
  <c r="U21" i="12"/>
  <c r="U13" i="12"/>
  <c r="U5" i="12"/>
  <c r="O69" i="12"/>
  <c r="O61" i="12"/>
  <c r="O53" i="12"/>
  <c r="O45" i="12"/>
  <c r="O37" i="12"/>
  <c r="O29" i="12"/>
  <c r="O21" i="12"/>
  <c r="O13" i="12"/>
  <c r="O5" i="12"/>
  <c r="I69" i="12"/>
  <c r="I61" i="12"/>
  <c r="I53" i="12"/>
  <c r="I45" i="12"/>
  <c r="I37" i="12"/>
  <c r="I29" i="12"/>
  <c r="I21" i="12"/>
  <c r="I13" i="12"/>
  <c r="I5" i="12"/>
  <c r="AR76" i="11"/>
  <c r="AR5" i="11"/>
  <c r="AR6" i="11"/>
  <c r="AR7" i="11"/>
  <c r="AR8" i="11"/>
  <c r="AR9" i="11"/>
  <c r="AR10" i="11"/>
  <c r="AR11" i="11"/>
  <c r="AR12" i="11"/>
  <c r="AR13" i="11"/>
  <c r="AR14" i="11"/>
  <c r="AR15" i="11"/>
  <c r="AR16" i="11"/>
  <c r="AR17" i="11"/>
  <c r="AR18" i="11"/>
  <c r="AR19" i="11"/>
  <c r="AR20" i="11"/>
  <c r="AR21" i="11"/>
  <c r="AR22" i="11"/>
  <c r="AR23" i="11"/>
  <c r="AR24" i="11"/>
  <c r="AR25" i="11"/>
  <c r="AR26" i="11"/>
  <c r="AR27" i="11"/>
  <c r="AR28" i="11"/>
  <c r="AR29" i="11"/>
  <c r="AR30" i="11"/>
  <c r="AR31" i="11"/>
  <c r="AR32" i="11"/>
  <c r="AR33" i="11"/>
  <c r="AR34" i="11"/>
  <c r="AR35" i="11"/>
  <c r="AR36" i="11"/>
  <c r="AR37" i="11"/>
  <c r="AR38" i="11"/>
  <c r="AR39" i="11"/>
  <c r="AR40" i="11"/>
  <c r="AR41" i="11"/>
  <c r="AR42" i="11"/>
  <c r="AR43" i="11"/>
  <c r="AR44" i="11"/>
  <c r="AR45" i="11"/>
  <c r="AR46" i="11"/>
  <c r="AR47" i="11"/>
  <c r="AR48" i="11"/>
  <c r="AR49" i="11"/>
  <c r="AR50" i="11"/>
  <c r="AR51" i="11"/>
  <c r="AR52" i="11"/>
  <c r="AR53" i="11"/>
  <c r="AR54" i="11"/>
  <c r="AR55" i="11"/>
  <c r="AR56" i="11"/>
  <c r="AR57" i="11"/>
  <c r="AR58" i="11"/>
  <c r="AR59" i="11"/>
  <c r="AR60" i="11"/>
  <c r="AR61" i="11"/>
  <c r="AR62" i="11"/>
  <c r="AR63" i="11"/>
  <c r="AR64" i="11"/>
  <c r="AR65" i="11"/>
  <c r="AR66" i="11"/>
  <c r="AR67" i="11"/>
  <c r="AR68" i="11"/>
  <c r="AR69" i="11"/>
  <c r="AR70" i="11"/>
  <c r="AR71" i="11"/>
  <c r="AR72" i="11"/>
  <c r="AR73" i="11"/>
  <c r="AR74" i="11"/>
  <c r="AR75" i="11"/>
  <c r="AR4" i="11"/>
  <c r="J29" i="13" l="1"/>
  <c r="J35" i="13"/>
  <c r="J36" i="13"/>
  <c r="J34" i="13"/>
  <c r="J33" i="13"/>
  <c r="J30" i="13"/>
  <c r="J30" i="18" s="1"/>
  <c r="J15" i="13"/>
  <c r="K30" i="18" s="1"/>
  <c r="J14" i="13"/>
  <c r="H3" i="18" s="1"/>
  <c r="H22" i="18" s="1"/>
  <c r="J13" i="13"/>
  <c r="J32" i="13"/>
  <c r="J31" i="13"/>
  <c r="J28" i="13"/>
  <c r="J37" i="13"/>
  <c r="B41" i="13"/>
  <c r="D41" i="13" s="1"/>
  <c r="B40" i="13"/>
  <c r="B39" i="13"/>
  <c r="D39" i="13" s="1"/>
  <c r="B38" i="13"/>
  <c r="B37" i="13"/>
  <c r="D37" i="13" s="1"/>
  <c r="B36" i="13"/>
  <c r="B35" i="13"/>
  <c r="D35" i="13" s="1"/>
  <c r="A35" i="13"/>
  <c r="B30" i="13"/>
  <c r="D28" i="13"/>
  <c r="D27" i="13"/>
  <c r="D26" i="13"/>
  <c r="D25" i="13"/>
  <c r="D24" i="13"/>
  <c r="D23" i="13"/>
  <c r="D22" i="13"/>
  <c r="B15" i="13"/>
  <c r="D13" i="13"/>
  <c r="J3" i="13"/>
  <c r="K74" i="18" l="1"/>
  <c r="J74" i="18"/>
  <c r="K56" i="18"/>
  <c r="J56" i="18"/>
  <c r="K54" i="18"/>
  <c r="J54" i="18"/>
  <c r="K34" i="18"/>
  <c r="J34" i="18"/>
  <c r="K37" i="18"/>
  <c r="J37" i="18"/>
  <c r="K61" i="18"/>
  <c r="J61" i="18"/>
  <c r="K22" i="18"/>
  <c r="J22" i="18"/>
  <c r="K68" i="18"/>
  <c r="J68" i="18"/>
  <c r="K29" i="18"/>
  <c r="J29" i="18"/>
  <c r="B43" i="13"/>
  <c r="L9" i="18"/>
  <c r="L17" i="18"/>
  <c r="L25" i="18"/>
  <c r="L33" i="18"/>
  <c r="L41" i="18"/>
  <c r="L49" i="18"/>
  <c r="L57" i="18"/>
  <c r="L65" i="18"/>
  <c r="L73" i="18"/>
  <c r="L16" i="18"/>
  <c r="L64" i="18"/>
  <c r="L10" i="18"/>
  <c r="L18" i="18"/>
  <c r="L26" i="18"/>
  <c r="L34" i="18"/>
  <c r="L42" i="18"/>
  <c r="L50" i="18"/>
  <c r="L58" i="18"/>
  <c r="L66" i="18"/>
  <c r="L74" i="18"/>
  <c r="L32" i="18"/>
  <c r="L72" i="18"/>
  <c r="L11" i="18"/>
  <c r="L19" i="18"/>
  <c r="L27" i="18"/>
  <c r="L35" i="18"/>
  <c r="L43" i="18"/>
  <c r="L51" i="18"/>
  <c r="L59" i="18"/>
  <c r="L67" i="18"/>
  <c r="L75" i="18"/>
  <c r="L48" i="18"/>
  <c r="L12" i="18"/>
  <c r="L20" i="18"/>
  <c r="L28" i="18"/>
  <c r="L36" i="18"/>
  <c r="L44" i="18"/>
  <c r="L52" i="18"/>
  <c r="L60" i="18"/>
  <c r="L68" i="18"/>
  <c r="L76" i="18"/>
  <c r="F3" i="18"/>
  <c r="L8" i="18"/>
  <c r="L56" i="18"/>
  <c r="L13" i="18"/>
  <c r="L21" i="18"/>
  <c r="L29" i="18"/>
  <c r="L37" i="18"/>
  <c r="L45" i="18"/>
  <c r="L53" i="18"/>
  <c r="L61" i="18"/>
  <c r="L69" i="18"/>
  <c r="L77" i="18"/>
  <c r="L24" i="18"/>
  <c r="L14" i="18"/>
  <c r="L22" i="18"/>
  <c r="L30" i="18"/>
  <c r="L38" i="18"/>
  <c r="L46" i="18"/>
  <c r="L54" i="18"/>
  <c r="L62" i="18"/>
  <c r="L70" i="18"/>
  <c r="L40" i="18"/>
  <c r="L7" i="18"/>
  <c r="L15" i="18"/>
  <c r="L23" i="18"/>
  <c r="L31" i="18"/>
  <c r="L39" i="18"/>
  <c r="L47" i="18"/>
  <c r="L55" i="18"/>
  <c r="L63" i="18"/>
  <c r="L71" i="18"/>
  <c r="L6" i="18"/>
  <c r="K3" i="18"/>
  <c r="K44" i="18" s="1"/>
  <c r="J3" i="18"/>
  <c r="H12" i="18"/>
  <c r="H66" i="18"/>
  <c r="H74" i="18"/>
  <c r="H26" i="18"/>
  <c r="H34" i="18"/>
  <c r="H42" i="18"/>
  <c r="H58" i="18"/>
  <c r="H50" i="18"/>
  <c r="H51" i="18"/>
  <c r="H73" i="18"/>
  <c r="H9" i="18"/>
  <c r="H63" i="18"/>
  <c r="H72" i="18"/>
  <c r="H38" i="18"/>
  <c r="H13" i="18"/>
  <c r="H20" i="18"/>
  <c r="H49" i="18"/>
  <c r="H40" i="18"/>
  <c r="H14" i="18"/>
  <c r="H8" i="18"/>
  <c r="H67" i="18"/>
  <c r="H15" i="18"/>
  <c r="H10" i="18"/>
  <c r="H7" i="18"/>
  <c r="H69" i="18"/>
  <c r="H43" i="18"/>
  <c r="H65" i="18"/>
  <c r="H64" i="18"/>
  <c r="H55" i="18"/>
  <c r="H48" i="18"/>
  <c r="H30" i="18"/>
  <c r="H76" i="18"/>
  <c r="H27" i="18"/>
  <c r="H39" i="18"/>
  <c r="H60" i="18"/>
  <c r="H62" i="18"/>
  <c r="H18" i="18"/>
  <c r="H36" i="18"/>
  <c r="H71" i="18"/>
  <c r="H28" i="18"/>
  <c r="H53" i="18"/>
  <c r="H35" i="18"/>
  <c r="H57" i="18"/>
  <c r="H56" i="18"/>
  <c r="H47" i="18"/>
  <c r="H32" i="18"/>
  <c r="H68" i="18"/>
  <c r="H37" i="18"/>
  <c r="H16" i="18"/>
  <c r="H33" i="18"/>
  <c r="H61" i="18"/>
  <c r="H44" i="18"/>
  <c r="H6" i="18"/>
  <c r="H54" i="18"/>
  <c r="H59" i="18"/>
  <c r="H46" i="18"/>
  <c r="H21" i="18"/>
  <c r="H19" i="18"/>
  <c r="H41" i="18"/>
  <c r="H24" i="18"/>
  <c r="H31" i="18"/>
  <c r="H70" i="18"/>
  <c r="H77" i="18"/>
  <c r="H52" i="18"/>
  <c r="H75" i="18"/>
  <c r="H11" i="18"/>
  <c r="H23" i="18"/>
  <c r="H25" i="18"/>
  <c r="H45" i="18"/>
  <c r="H17" i="18"/>
  <c r="H29" i="18"/>
  <c r="C43" i="13"/>
  <c r="C15" i="13"/>
  <c r="D40" i="13"/>
  <c r="D36" i="13"/>
  <c r="D30" i="13"/>
  <c r="C30" i="13"/>
  <c r="D38" i="13"/>
  <c r="D12" i="13"/>
  <c r="H78" i="18" l="1"/>
  <c r="L78" i="18"/>
  <c r="M23" i="13" s="1"/>
  <c r="F22" i="18"/>
  <c r="G22" i="18"/>
  <c r="J9" i="18"/>
  <c r="J17" i="18"/>
  <c r="J25" i="18"/>
  <c r="J33" i="18"/>
  <c r="J41" i="18"/>
  <c r="J49" i="18"/>
  <c r="J57" i="18"/>
  <c r="J65" i="18"/>
  <c r="J73" i="18"/>
  <c r="J16" i="18"/>
  <c r="J72" i="18"/>
  <c r="J10" i="18"/>
  <c r="J18" i="18"/>
  <c r="J26" i="18"/>
  <c r="J42" i="18"/>
  <c r="J50" i="18"/>
  <c r="J58" i="18"/>
  <c r="J66" i="18"/>
  <c r="J48" i="18"/>
  <c r="J11" i="18"/>
  <c r="J19" i="18"/>
  <c r="J27" i="18"/>
  <c r="J35" i="18"/>
  <c r="J43" i="18"/>
  <c r="J51" i="18"/>
  <c r="J59" i="18"/>
  <c r="J67" i="18"/>
  <c r="J75" i="18"/>
  <c r="J8" i="18"/>
  <c r="J64" i="18"/>
  <c r="J12" i="18"/>
  <c r="J20" i="18"/>
  <c r="J28" i="18"/>
  <c r="J36" i="18"/>
  <c r="J44" i="18"/>
  <c r="J52" i="18"/>
  <c r="J60" i="18"/>
  <c r="J76" i="18"/>
  <c r="J40" i="18"/>
  <c r="J6" i="18"/>
  <c r="J13" i="18"/>
  <c r="J21" i="18"/>
  <c r="J45" i="18"/>
  <c r="J53" i="18"/>
  <c r="J69" i="18"/>
  <c r="J77" i="18"/>
  <c r="J14" i="18"/>
  <c r="J38" i="18"/>
  <c r="J46" i="18"/>
  <c r="J62" i="18"/>
  <c r="J70" i="18"/>
  <c r="J24" i="18"/>
  <c r="J7" i="18"/>
  <c r="J15" i="18"/>
  <c r="J23" i="18"/>
  <c r="J31" i="18"/>
  <c r="J39" i="18"/>
  <c r="J47" i="18"/>
  <c r="J55" i="18"/>
  <c r="J63" i="18"/>
  <c r="J71" i="18"/>
  <c r="J32" i="18"/>
  <c r="K9" i="18"/>
  <c r="K17" i="18"/>
  <c r="K25" i="18"/>
  <c r="K33" i="18"/>
  <c r="K41" i="18"/>
  <c r="K49" i="18"/>
  <c r="K57" i="18"/>
  <c r="K65" i="18"/>
  <c r="K73" i="18"/>
  <c r="K6" i="18"/>
  <c r="K40" i="18"/>
  <c r="K10" i="18"/>
  <c r="K18" i="18"/>
  <c r="K26" i="18"/>
  <c r="K42" i="18"/>
  <c r="K50" i="18"/>
  <c r="K58" i="18"/>
  <c r="K66" i="18"/>
  <c r="K11" i="18"/>
  <c r="K19" i="18"/>
  <c r="K27" i="18"/>
  <c r="K35" i="18"/>
  <c r="K43" i="18"/>
  <c r="K51" i="18"/>
  <c r="K59" i="18"/>
  <c r="K67" i="18"/>
  <c r="K75" i="18"/>
  <c r="K32" i="18"/>
  <c r="K12" i="18"/>
  <c r="K20" i="18"/>
  <c r="K28" i="18"/>
  <c r="K36" i="18"/>
  <c r="K52" i="18"/>
  <c r="K60" i="18"/>
  <c r="K76" i="18"/>
  <c r="K24" i="18"/>
  <c r="K72" i="18"/>
  <c r="K13" i="18"/>
  <c r="K21" i="18"/>
  <c r="K45" i="18"/>
  <c r="K53" i="18"/>
  <c r="K69" i="18"/>
  <c r="K77" i="18"/>
  <c r="K16" i="18"/>
  <c r="K64" i="18"/>
  <c r="K14" i="18"/>
  <c r="K38" i="18"/>
  <c r="K46" i="18"/>
  <c r="K62" i="18"/>
  <c r="K70" i="18"/>
  <c r="K8" i="18"/>
  <c r="K48" i="18"/>
  <c r="K7" i="18"/>
  <c r="K15" i="18"/>
  <c r="K23" i="18"/>
  <c r="K31" i="18"/>
  <c r="K39" i="18"/>
  <c r="K47" i="18"/>
  <c r="K55" i="18"/>
  <c r="K63" i="18"/>
  <c r="K71" i="18"/>
  <c r="D43" i="13"/>
  <c r="D15" i="13"/>
  <c r="K78" i="18" l="1"/>
  <c r="J78" i="18"/>
  <c r="M22" i="13" l="1"/>
  <c r="V76" i="12" l="1"/>
  <c r="U76" i="12"/>
  <c r="O76" i="12"/>
  <c r="I76" i="12"/>
  <c r="E76" i="12"/>
  <c r="D76" i="12"/>
  <c r="C76" i="12"/>
  <c r="J75" i="12"/>
  <c r="P75" i="12" s="1"/>
  <c r="H75" i="12"/>
  <c r="F75" i="12"/>
  <c r="P74" i="12"/>
  <c r="J74" i="12"/>
  <c r="H74" i="12"/>
  <c r="F74" i="12"/>
  <c r="P73" i="12"/>
  <c r="J73" i="12"/>
  <c r="K73" i="12"/>
  <c r="F73" i="12"/>
  <c r="H73" i="12" s="1"/>
  <c r="J72" i="12"/>
  <c r="P72" i="12" s="1"/>
  <c r="F72" i="12"/>
  <c r="H72" i="12" s="1"/>
  <c r="J71" i="12"/>
  <c r="P71" i="12" s="1"/>
  <c r="F71" i="12"/>
  <c r="H71" i="12" s="1"/>
  <c r="J70" i="12"/>
  <c r="P70" i="12" s="1"/>
  <c r="H70" i="12"/>
  <c r="F70" i="12"/>
  <c r="P69" i="12"/>
  <c r="J69" i="12"/>
  <c r="F69" i="12"/>
  <c r="H69" i="12" s="1"/>
  <c r="J68" i="12"/>
  <c r="P68" i="12" s="1"/>
  <c r="K68" i="12"/>
  <c r="F68" i="12"/>
  <c r="H68" i="12" s="1"/>
  <c r="J67" i="12"/>
  <c r="P67" i="12" s="1"/>
  <c r="F67" i="12"/>
  <c r="H67" i="12" s="1"/>
  <c r="J66" i="12"/>
  <c r="P66" i="12" s="1"/>
  <c r="H66" i="12"/>
  <c r="K66" i="12" s="1"/>
  <c r="L66" i="12" s="1"/>
  <c r="F66" i="12"/>
  <c r="P65" i="12"/>
  <c r="J65" i="12"/>
  <c r="K65" i="12"/>
  <c r="F65" i="12"/>
  <c r="H65" i="12" s="1"/>
  <c r="J64" i="12"/>
  <c r="P64" i="12" s="1"/>
  <c r="F64" i="12"/>
  <c r="H64" i="12" s="1"/>
  <c r="J63" i="12"/>
  <c r="P63" i="12" s="1"/>
  <c r="F63" i="12"/>
  <c r="H63" i="12" s="1"/>
  <c r="J62" i="12"/>
  <c r="P62" i="12" s="1"/>
  <c r="H62" i="12"/>
  <c r="F62" i="12"/>
  <c r="P61" i="12"/>
  <c r="J61" i="12"/>
  <c r="F61" i="12"/>
  <c r="H61" i="12" s="1"/>
  <c r="K60" i="12"/>
  <c r="J60" i="12"/>
  <c r="P60" i="12" s="1"/>
  <c r="F60" i="12"/>
  <c r="H60" i="12" s="1"/>
  <c r="J59" i="12"/>
  <c r="P59" i="12" s="1"/>
  <c r="F59" i="12"/>
  <c r="H59" i="12" s="1"/>
  <c r="J58" i="12"/>
  <c r="P58" i="12" s="1"/>
  <c r="H58" i="12"/>
  <c r="K58" i="12" s="1"/>
  <c r="F58" i="12"/>
  <c r="P57" i="12"/>
  <c r="J57" i="12"/>
  <c r="K57" i="12"/>
  <c r="F57" i="12"/>
  <c r="H57" i="12" s="1"/>
  <c r="J56" i="12"/>
  <c r="P56" i="12" s="1"/>
  <c r="F56" i="12"/>
  <c r="H56" i="12" s="1"/>
  <c r="J55" i="12"/>
  <c r="P55" i="12" s="1"/>
  <c r="F55" i="12"/>
  <c r="H55" i="12" s="1"/>
  <c r="J54" i="12"/>
  <c r="P54" i="12" s="1"/>
  <c r="H54" i="12"/>
  <c r="K54" i="12" s="1"/>
  <c r="F54" i="12"/>
  <c r="P53" i="12"/>
  <c r="J53" i="12"/>
  <c r="F53" i="12"/>
  <c r="H53" i="12" s="1"/>
  <c r="K52" i="12"/>
  <c r="J52" i="12"/>
  <c r="P52" i="12" s="1"/>
  <c r="F52" i="12"/>
  <c r="H52" i="12" s="1"/>
  <c r="J51" i="12"/>
  <c r="P51" i="12" s="1"/>
  <c r="F51" i="12"/>
  <c r="H51" i="12" s="1"/>
  <c r="J50" i="12"/>
  <c r="P50" i="12" s="1"/>
  <c r="H50" i="12"/>
  <c r="F50" i="12"/>
  <c r="P49" i="12"/>
  <c r="J49" i="12"/>
  <c r="K49" i="12"/>
  <c r="F49" i="12"/>
  <c r="H49" i="12" s="1"/>
  <c r="J48" i="12"/>
  <c r="P48" i="12" s="1"/>
  <c r="F48" i="12"/>
  <c r="H48" i="12" s="1"/>
  <c r="J47" i="12"/>
  <c r="P47" i="12" s="1"/>
  <c r="F47" i="12"/>
  <c r="H47" i="12" s="1"/>
  <c r="J46" i="12"/>
  <c r="P46" i="12" s="1"/>
  <c r="H46" i="12"/>
  <c r="K46" i="12" s="1"/>
  <c r="F46" i="12"/>
  <c r="P45" i="12"/>
  <c r="J45" i="12"/>
  <c r="F45" i="12"/>
  <c r="H45" i="12" s="1"/>
  <c r="J44" i="12"/>
  <c r="P44" i="12" s="1"/>
  <c r="K44" i="12"/>
  <c r="F44" i="12"/>
  <c r="H44" i="12" s="1"/>
  <c r="J43" i="12"/>
  <c r="P43" i="12" s="1"/>
  <c r="F43" i="12"/>
  <c r="H43" i="12" s="1"/>
  <c r="J42" i="12"/>
  <c r="P42" i="12" s="1"/>
  <c r="H42" i="12"/>
  <c r="F42" i="12"/>
  <c r="P41" i="12"/>
  <c r="J41" i="12"/>
  <c r="F41" i="12"/>
  <c r="H41" i="12" s="1"/>
  <c r="P40" i="12"/>
  <c r="J40" i="12"/>
  <c r="F40" i="12"/>
  <c r="H40" i="12" s="1"/>
  <c r="J39" i="12"/>
  <c r="P39" i="12" s="1"/>
  <c r="F39" i="12"/>
  <c r="H39" i="12" s="1"/>
  <c r="J38" i="12"/>
  <c r="P38" i="12" s="1"/>
  <c r="H38" i="12"/>
  <c r="F38" i="12"/>
  <c r="P37" i="12"/>
  <c r="J37" i="12"/>
  <c r="F37" i="12"/>
  <c r="H37" i="12" s="1"/>
  <c r="P36" i="12"/>
  <c r="J36" i="12"/>
  <c r="F36" i="12"/>
  <c r="H36" i="12" s="1"/>
  <c r="J35" i="12"/>
  <c r="P35" i="12" s="1"/>
  <c r="F35" i="12"/>
  <c r="H35" i="12" s="1"/>
  <c r="J34" i="12"/>
  <c r="P34" i="12" s="1"/>
  <c r="H34" i="12"/>
  <c r="F34" i="12"/>
  <c r="P33" i="12"/>
  <c r="J33" i="12"/>
  <c r="K33" i="12"/>
  <c r="F33" i="12"/>
  <c r="H33" i="12" s="1"/>
  <c r="P32" i="12"/>
  <c r="J32" i="12"/>
  <c r="F32" i="12"/>
  <c r="H32" i="12" s="1"/>
  <c r="J31" i="12"/>
  <c r="P31" i="12" s="1"/>
  <c r="F31" i="12"/>
  <c r="H31" i="12" s="1"/>
  <c r="J30" i="12"/>
  <c r="P30" i="12" s="1"/>
  <c r="H30" i="12"/>
  <c r="F30" i="12"/>
  <c r="P29" i="12"/>
  <c r="J29" i="12"/>
  <c r="K29" i="12"/>
  <c r="F29" i="12"/>
  <c r="H29" i="12" s="1"/>
  <c r="P28" i="12"/>
  <c r="J28" i="12"/>
  <c r="F28" i="12"/>
  <c r="H28" i="12" s="1"/>
  <c r="J27" i="12"/>
  <c r="P27" i="12" s="1"/>
  <c r="F27" i="12"/>
  <c r="H27" i="12" s="1"/>
  <c r="J26" i="12"/>
  <c r="P26" i="12" s="1"/>
  <c r="H26" i="12"/>
  <c r="F26" i="12"/>
  <c r="J25" i="12"/>
  <c r="P25" i="12" s="1"/>
  <c r="H25" i="12"/>
  <c r="F25" i="12"/>
  <c r="P24" i="12"/>
  <c r="J24" i="12"/>
  <c r="F24" i="12"/>
  <c r="H24" i="12" s="1"/>
  <c r="J23" i="12"/>
  <c r="P23" i="12" s="1"/>
  <c r="F23" i="12"/>
  <c r="H23" i="12" s="1"/>
  <c r="J22" i="12"/>
  <c r="P22" i="12" s="1"/>
  <c r="H22" i="12"/>
  <c r="F22" i="12"/>
  <c r="J21" i="12"/>
  <c r="P21" i="12" s="1"/>
  <c r="H21" i="12"/>
  <c r="F21" i="12"/>
  <c r="P20" i="12"/>
  <c r="J20" i="12"/>
  <c r="K20" i="12"/>
  <c r="F20" i="12"/>
  <c r="H20" i="12" s="1"/>
  <c r="J19" i="12"/>
  <c r="P19" i="12" s="1"/>
  <c r="F19" i="12"/>
  <c r="H19" i="12" s="1"/>
  <c r="J18" i="12"/>
  <c r="P18" i="12" s="1"/>
  <c r="F18" i="12"/>
  <c r="H18" i="12" s="1"/>
  <c r="J17" i="12"/>
  <c r="P17" i="12" s="1"/>
  <c r="H17" i="12"/>
  <c r="K17" i="12" s="1"/>
  <c r="F17" i="12"/>
  <c r="P16" i="12"/>
  <c r="J16" i="12"/>
  <c r="F16" i="12"/>
  <c r="H16" i="12" s="1"/>
  <c r="J15" i="12"/>
  <c r="P15" i="12" s="1"/>
  <c r="F15" i="12"/>
  <c r="H15" i="12" s="1"/>
  <c r="J14" i="12"/>
  <c r="P14" i="12" s="1"/>
  <c r="F14" i="12"/>
  <c r="H14" i="12" s="1"/>
  <c r="J13" i="12"/>
  <c r="P13" i="12" s="1"/>
  <c r="H13" i="12"/>
  <c r="F13" i="12"/>
  <c r="P12" i="12"/>
  <c r="J12" i="12"/>
  <c r="K12" i="12"/>
  <c r="F12" i="12"/>
  <c r="H12" i="12" s="1"/>
  <c r="J11" i="12"/>
  <c r="P11" i="12" s="1"/>
  <c r="F11" i="12"/>
  <c r="H11" i="12" s="1"/>
  <c r="J10" i="12"/>
  <c r="P10" i="12" s="1"/>
  <c r="F10" i="12"/>
  <c r="H10" i="12" s="1"/>
  <c r="J9" i="12"/>
  <c r="P9" i="12" s="1"/>
  <c r="H9" i="12"/>
  <c r="K9" i="12" s="1"/>
  <c r="F9" i="12"/>
  <c r="P8" i="12"/>
  <c r="J8" i="12"/>
  <c r="F8" i="12"/>
  <c r="H8" i="12" s="1"/>
  <c r="J7" i="12"/>
  <c r="P7" i="12" s="1"/>
  <c r="F7" i="12"/>
  <c r="H7" i="12" s="1"/>
  <c r="J6" i="12"/>
  <c r="P6" i="12" s="1"/>
  <c r="F6" i="12"/>
  <c r="H6" i="12" s="1"/>
  <c r="J5" i="12"/>
  <c r="P5" i="12" s="1"/>
  <c r="H5" i="12"/>
  <c r="F5" i="12"/>
  <c r="P4" i="12"/>
  <c r="P76" i="12" s="1"/>
  <c r="J4" i="12"/>
  <c r="H4" i="12"/>
  <c r="F4" i="12"/>
  <c r="CN76" i="11"/>
  <c r="CM76" i="11"/>
  <c r="CL76" i="11"/>
  <c r="CK76" i="11"/>
  <c r="BO76" i="11"/>
  <c r="BN76" i="11"/>
  <c r="BM76" i="11"/>
  <c r="BL76" i="11"/>
  <c r="BE76" i="11"/>
  <c r="BD76" i="11"/>
  <c r="BC76" i="11"/>
  <c r="AO76" i="11"/>
  <c r="AN76" i="11"/>
  <c r="AM76" i="11"/>
  <c r="AL76" i="11"/>
  <c r="AE76" i="11"/>
  <c r="AD76" i="11"/>
  <c r="AC76" i="11"/>
  <c r="AB76" i="11"/>
  <c r="AA76" i="11"/>
  <c r="Z76" i="11"/>
  <c r="P76" i="11"/>
  <c r="O76" i="11"/>
  <c r="N76" i="11"/>
  <c r="M76" i="11"/>
  <c r="L76" i="11"/>
  <c r="K76" i="11"/>
  <c r="J76" i="11"/>
  <c r="I76" i="11"/>
  <c r="H76" i="11"/>
  <c r="G76" i="11"/>
  <c r="F76" i="11"/>
  <c r="E76" i="11"/>
  <c r="D76" i="11"/>
  <c r="C76" i="11"/>
  <c r="B76" i="11"/>
  <c r="BB75" i="11"/>
  <c r="CA75" i="11" s="1"/>
  <c r="BA75" i="11"/>
  <c r="BZ75" i="11" s="1"/>
  <c r="AZ75" i="11"/>
  <c r="BY75" i="11" s="1"/>
  <c r="Y75" i="11"/>
  <c r="X75" i="11"/>
  <c r="W75" i="11"/>
  <c r="S75" i="11"/>
  <c r="V75" i="11" s="1"/>
  <c r="AH75" i="11" s="1"/>
  <c r="AV75" i="11" s="1"/>
  <c r="R75" i="11"/>
  <c r="Q75" i="11"/>
  <c r="BB74" i="11"/>
  <c r="BA74" i="11"/>
  <c r="AZ74" i="11"/>
  <c r="Y74" i="11"/>
  <c r="X74" i="11"/>
  <c r="W74" i="11"/>
  <c r="S74" i="11"/>
  <c r="V74" i="11" s="1"/>
  <c r="R74" i="11"/>
  <c r="Q74" i="11"/>
  <c r="T74" i="11" s="1"/>
  <c r="AF74" i="11" s="1"/>
  <c r="AT74" i="11" s="1"/>
  <c r="CD73" i="11"/>
  <c r="CC73" i="11"/>
  <c r="CB73" i="11"/>
  <c r="BB73" i="11"/>
  <c r="CA73" i="11" s="1"/>
  <c r="BA73" i="11"/>
  <c r="BZ73" i="11" s="1"/>
  <c r="AZ73" i="11"/>
  <c r="BY73" i="11" s="1"/>
  <c r="Y73" i="11"/>
  <c r="X73" i="11"/>
  <c r="W73" i="11"/>
  <c r="S73" i="11"/>
  <c r="R73" i="11"/>
  <c r="U73" i="11" s="1"/>
  <c r="Q73" i="11"/>
  <c r="CD72" i="11"/>
  <c r="CC72" i="11"/>
  <c r="CB72" i="11"/>
  <c r="BB72" i="11"/>
  <c r="CA72" i="11" s="1"/>
  <c r="BA72" i="11"/>
  <c r="BZ72" i="11" s="1"/>
  <c r="AZ72" i="11"/>
  <c r="BY72" i="11" s="1"/>
  <c r="Y72" i="11"/>
  <c r="X72" i="11"/>
  <c r="W72" i="11"/>
  <c r="S72" i="11"/>
  <c r="V72" i="11" s="1"/>
  <c r="R72" i="11"/>
  <c r="Q72" i="11"/>
  <c r="T72" i="11" s="1"/>
  <c r="AF72" i="11" s="1"/>
  <c r="AT72" i="11" s="1"/>
  <c r="CD71" i="11"/>
  <c r="CC71" i="11"/>
  <c r="CB71" i="11"/>
  <c r="BB71" i="11"/>
  <c r="CA71" i="11" s="1"/>
  <c r="BA71" i="11"/>
  <c r="BZ71" i="11" s="1"/>
  <c r="AZ71" i="11"/>
  <c r="BY71" i="11" s="1"/>
  <c r="Y71" i="11"/>
  <c r="X71" i="11"/>
  <c r="W71" i="11"/>
  <c r="S71" i="11"/>
  <c r="R71" i="11"/>
  <c r="U71" i="11" s="1"/>
  <c r="Q71" i="11"/>
  <c r="CD70" i="11"/>
  <c r="CC70" i="11"/>
  <c r="CB70" i="11"/>
  <c r="BB70" i="11"/>
  <c r="CA70" i="11" s="1"/>
  <c r="BA70" i="11"/>
  <c r="BZ70" i="11" s="1"/>
  <c r="AZ70" i="11"/>
  <c r="BY70" i="11" s="1"/>
  <c r="Y70" i="11"/>
  <c r="X70" i="11"/>
  <c r="W70" i="11"/>
  <c r="V70" i="11"/>
  <c r="S70" i="11"/>
  <c r="R70" i="11"/>
  <c r="Q70" i="11"/>
  <c r="T70" i="11" s="1"/>
  <c r="BB69" i="11"/>
  <c r="BA69" i="11"/>
  <c r="AZ69" i="11"/>
  <c r="Y69" i="11"/>
  <c r="X69" i="11"/>
  <c r="W69" i="11"/>
  <c r="S69" i="11"/>
  <c r="V69" i="11" s="1"/>
  <c r="R69" i="11"/>
  <c r="Q69" i="11"/>
  <c r="T69" i="11" s="1"/>
  <c r="AF69" i="11" s="1"/>
  <c r="AT69" i="11" s="1"/>
  <c r="BB68" i="11"/>
  <c r="BA68" i="11"/>
  <c r="AZ68" i="11"/>
  <c r="Y68" i="11"/>
  <c r="I70" i="18" s="1"/>
  <c r="X68" i="11"/>
  <c r="W68" i="11"/>
  <c r="S68" i="11"/>
  <c r="V68" i="11" s="1"/>
  <c r="R68" i="11"/>
  <c r="Q68" i="11"/>
  <c r="T68" i="11" s="1"/>
  <c r="CD67" i="11"/>
  <c r="CC67" i="11"/>
  <c r="CB67" i="11"/>
  <c r="CA67" i="11"/>
  <c r="BZ67" i="11"/>
  <c r="BY67" i="11"/>
  <c r="Y67" i="11"/>
  <c r="X67" i="11"/>
  <c r="W67" i="11"/>
  <c r="S67" i="11"/>
  <c r="V67" i="11" s="1"/>
  <c r="AS67" i="11" s="1"/>
  <c r="R67" i="11"/>
  <c r="Q67" i="11"/>
  <c r="CD66" i="11"/>
  <c r="CC66" i="11"/>
  <c r="CB66" i="11"/>
  <c r="CA66" i="11"/>
  <c r="BZ66" i="11"/>
  <c r="BY66" i="11"/>
  <c r="Y66" i="11"/>
  <c r="I68" i="18" s="1"/>
  <c r="X66" i="11"/>
  <c r="W66" i="11"/>
  <c r="S66" i="11"/>
  <c r="R66" i="11"/>
  <c r="Q66" i="11"/>
  <c r="T66" i="11" s="1"/>
  <c r="AF66" i="11" s="1"/>
  <c r="BB65" i="11"/>
  <c r="BA65" i="11"/>
  <c r="AZ65" i="11"/>
  <c r="Y65" i="11"/>
  <c r="X65" i="11"/>
  <c r="W65" i="11"/>
  <c r="S65" i="11"/>
  <c r="V65" i="11" s="1"/>
  <c r="R65" i="11"/>
  <c r="Q65" i="11"/>
  <c r="T65" i="11" s="1"/>
  <c r="BB64" i="11"/>
  <c r="BA64" i="11"/>
  <c r="AZ64" i="11"/>
  <c r="Y64" i="11"/>
  <c r="X64" i="11"/>
  <c r="W64" i="11"/>
  <c r="S64" i="11"/>
  <c r="V64" i="11" s="1"/>
  <c r="AH64" i="11" s="1"/>
  <c r="AV64" i="11" s="1"/>
  <c r="R64" i="11"/>
  <c r="U64" i="11" s="1"/>
  <c r="Q64" i="11"/>
  <c r="T64" i="11" s="1"/>
  <c r="AF64" i="11" s="1"/>
  <c r="AT64" i="11" s="1"/>
  <c r="CD63" i="11"/>
  <c r="CC63" i="11"/>
  <c r="CB63" i="11"/>
  <c r="BB63" i="11"/>
  <c r="CA63" i="11" s="1"/>
  <c r="BA63" i="11"/>
  <c r="BZ63" i="11" s="1"/>
  <c r="AZ63" i="11"/>
  <c r="BY63" i="11" s="1"/>
  <c r="Y63" i="11"/>
  <c r="X63" i="11"/>
  <c r="W63" i="11"/>
  <c r="S63" i="11"/>
  <c r="V63" i="11" s="1"/>
  <c r="R63" i="11"/>
  <c r="Q63" i="11"/>
  <c r="BB62" i="11"/>
  <c r="BA62" i="11"/>
  <c r="AZ62" i="11"/>
  <c r="Y62" i="11"/>
  <c r="I64" i="18" s="1"/>
  <c r="X62" i="11"/>
  <c r="W62" i="11"/>
  <c r="S62" i="11"/>
  <c r="V62" i="11" s="1"/>
  <c r="AS62" i="11" s="1"/>
  <c r="R62" i="11"/>
  <c r="U62" i="11" s="1"/>
  <c r="Q62" i="11"/>
  <c r="T62" i="11" s="1"/>
  <c r="AF62" i="11" s="1"/>
  <c r="AT62" i="11" s="1"/>
  <c r="BB61" i="11"/>
  <c r="CA61" i="11" s="1"/>
  <c r="BA61" i="11"/>
  <c r="BZ61" i="11" s="1"/>
  <c r="AZ61" i="11"/>
  <c r="BY61" i="11" s="1"/>
  <c r="Y61" i="11"/>
  <c r="X61" i="11"/>
  <c r="W61" i="11"/>
  <c r="S61" i="11"/>
  <c r="V61" i="11" s="1"/>
  <c r="R61" i="11"/>
  <c r="Q61" i="11"/>
  <c r="CD60" i="11"/>
  <c r="CC60" i="11"/>
  <c r="CB60" i="11"/>
  <c r="BY60" i="11"/>
  <c r="BB60" i="11"/>
  <c r="CA60" i="11" s="1"/>
  <c r="BA60" i="11"/>
  <c r="BZ60" i="11" s="1"/>
  <c r="AZ60" i="11"/>
  <c r="Y60" i="11"/>
  <c r="X60" i="11"/>
  <c r="W60" i="11"/>
  <c r="S60" i="11"/>
  <c r="V60" i="11" s="1"/>
  <c r="R60" i="11"/>
  <c r="Q60" i="11"/>
  <c r="BB59" i="11"/>
  <c r="CA59" i="11" s="1"/>
  <c r="BA59" i="11"/>
  <c r="BZ59" i="11" s="1"/>
  <c r="AZ59" i="11"/>
  <c r="BY59" i="11" s="1"/>
  <c r="Y59" i="11"/>
  <c r="X59" i="11"/>
  <c r="W59" i="11"/>
  <c r="S59" i="11"/>
  <c r="R59" i="11"/>
  <c r="U59" i="11" s="1"/>
  <c r="Q59" i="11"/>
  <c r="CD58" i="11"/>
  <c r="CC58" i="11"/>
  <c r="CB58" i="11"/>
  <c r="BB58" i="11"/>
  <c r="CA58" i="11" s="1"/>
  <c r="BA58" i="11"/>
  <c r="BZ58" i="11" s="1"/>
  <c r="AZ58" i="11"/>
  <c r="BY58" i="11" s="1"/>
  <c r="Y58" i="11"/>
  <c r="X58" i="11"/>
  <c r="W58" i="11"/>
  <c r="S58" i="11"/>
  <c r="R58" i="11"/>
  <c r="U58" i="11" s="1"/>
  <c r="Q58" i="11"/>
  <c r="CD57" i="11"/>
  <c r="CC57" i="11"/>
  <c r="CB57" i="11"/>
  <c r="CA57" i="11"/>
  <c r="BZ57" i="11"/>
  <c r="BY57" i="11"/>
  <c r="Y57" i="11"/>
  <c r="X57" i="11"/>
  <c r="W57" i="11"/>
  <c r="S57" i="11"/>
  <c r="R57" i="11"/>
  <c r="Q57" i="11"/>
  <c r="CD56" i="11"/>
  <c r="CC56" i="11"/>
  <c r="CB56" i="11"/>
  <c r="CA56" i="11"/>
  <c r="BZ56" i="11"/>
  <c r="BY56" i="11"/>
  <c r="Y56" i="11"/>
  <c r="X56" i="11"/>
  <c r="W56" i="11"/>
  <c r="S56" i="11"/>
  <c r="R56" i="11"/>
  <c r="U56" i="11" s="1"/>
  <c r="AG56" i="11" s="1"/>
  <c r="AU56" i="11" s="1"/>
  <c r="Q56" i="11"/>
  <c r="BB55" i="11"/>
  <c r="BA55" i="11"/>
  <c r="AZ55" i="11"/>
  <c r="Y55" i="11"/>
  <c r="X55" i="11"/>
  <c r="W55" i="11"/>
  <c r="U55" i="11"/>
  <c r="AG55" i="11" s="1"/>
  <c r="AU55" i="11" s="1"/>
  <c r="S55" i="11"/>
  <c r="R55" i="11"/>
  <c r="Q55" i="11"/>
  <c r="CD54" i="11"/>
  <c r="CC54" i="11"/>
  <c r="CB54" i="11"/>
  <c r="BB54" i="11"/>
  <c r="CA54" i="11" s="1"/>
  <c r="BA54" i="11"/>
  <c r="BZ54" i="11" s="1"/>
  <c r="AZ54" i="11"/>
  <c r="BY54" i="11" s="1"/>
  <c r="Y54" i="11"/>
  <c r="X54" i="11"/>
  <c r="W54" i="11"/>
  <c r="S54" i="11"/>
  <c r="R54" i="11"/>
  <c r="Q54" i="11"/>
  <c r="T54" i="11" s="1"/>
  <c r="BB53" i="11"/>
  <c r="BA53" i="11"/>
  <c r="AZ53" i="11"/>
  <c r="Y53" i="11"/>
  <c r="X53" i="11"/>
  <c r="W53" i="11"/>
  <c r="S53" i="11"/>
  <c r="V53" i="11" s="1"/>
  <c r="R53" i="11"/>
  <c r="Q53" i="11"/>
  <c r="T53" i="11" s="1"/>
  <c r="CD52" i="11"/>
  <c r="CC52" i="11"/>
  <c r="CB52" i="11"/>
  <c r="BY52" i="11"/>
  <c r="BB52" i="11"/>
  <c r="CA52" i="11" s="1"/>
  <c r="BA52" i="11"/>
  <c r="BZ52" i="11" s="1"/>
  <c r="AZ52" i="11"/>
  <c r="Y52" i="11"/>
  <c r="X52" i="11"/>
  <c r="W52" i="11"/>
  <c r="S52" i="11"/>
  <c r="R52" i="11"/>
  <c r="U52" i="11" s="1"/>
  <c r="AG52" i="11" s="1"/>
  <c r="AU52" i="11" s="1"/>
  <c r="Q52" i="11"/>
  <c r="CD51" i="11"/>
  <c r="CC51" i="11"/>
  <c r="CB51" i="11"/>
  <c r="BB51" i="11"/>
  <c r="CA51" i="11" s="1"/>
  <c r="BA51" i="11"/>
  <c r="BZ51" i="11" s="1"/>
  <c r="AZ51" i="11"/>
  <c r="BY51" i="11" s="1"/>
  <c r="Y51" i="11"/>
  <c r="X51" i="11"/>
  <c r="W51" i="11"/>
  <c r="S51" i="11"/>
  <c r="R51" i="11"/>
  <c r="Q51" i="11"/>
  <c r="T51" i="11" s="1"/>
  <c r="Y50" i="11"/>
  <c r="X50" i="11"/>
  <c r="G52" i="18" s="1"/>
  <c r="W50" i="11"/>
  <c r="S50" i="11"/>
  <c r="R50" i="11"/>
  <c r="U50" i="11" s="1"/>
  <c r="AG50" i="11" s="1"/>
  <c r="Q50" i="11"/>
  <c r="CD49" i="11"/>
  <c r="CC49" i="11"/>
  <c r="CB49" i="11"/>
  <c r="BB49" i="11"/>
  <c r="CA49" i="11" s="1"/>
  <c r="BA49" i="11"/>
  <c r="BZ49" i="11" s="1"/>
  <c r="AZ49" i="11"/>
  <c r="BY49" i="11" s="1"/>
  <c r="Y49" i="11"/>
  <c r="X49" i="11"/>
  <c r="W49" i="11"/>
  <c r="S49" i="11"/>
  <c r="R49" i="11"/>
  <c r="Q49" i="11"/>
  <c r="T49" i="11" s="1"/>
  <c r="BB48" i="11"/>
  <c r="BA48" i="11"/>
  <c r="AZ48" i="11"/>
  <c r="Y48" i="11"/>
  <c r="I50" i="18" s="1"/>
  <c r="X48" i="11"/>
  <c r="W48" i="11"/>
  <c r="V48" i="11"/>
  <c r="AS48" i="11" s="1"/>
  <c r="S48" i="11"/>
  <c r="R48" i="11"/>
  <c r="Q48" i="11"/>
  <c r="T48" i="11" s="1"/>
  <c r="BB47" i="11"/>
  <c r="CA47" i="11" s="1"/>
  <c r="BA47" i="11"/>
  <c r="BZ47" i="11" s="1"/>
  <c r="AZ47" i="11"/>
  <c r="BY47" i="11" s="1"/>
  <c r="Y47" i="11"/>
  <c r="X47" i="11"/>
  <c r="W47" i="11"/>
  <c r="S47" i="11"/>
  <c r="V47" i="11" s="1"/>
  <c r="R47" i="11"/>
  <c r="U47" i="11" s="1"/>
  <c r="AG47" i="11" s="1"/>
  <c r="AU47" i="11" s="1"/>
  <c r="Q47" i="11"/>
  <c r="T47" i="11" s="1"/>
  <c r="AF47" i="11" s="1"/>
  <c r="AT47" i="11" s="1"/>
  <c r="BB46" i="11"/>
  <c r="BA46" i="11"/>
  <c r="AZ46" i="11"/>
  <c r="Y46" i="11"/>
  <c r="X46" i="11"/>
  <c r="W46" i="11"/>
  <c r="S46" i="11"/>
  <c r="V46" i="11" s="1"/>
  <c r="R46" i="11"/>
  <c r="Q46" i="11"/>
  <c r="T46" i="11" s="1"/>
  <c r="BB45" i="11"/>
  <c r="BA45" i="11"/>
  <c r="AZ45" i="11"/>
  <c r="Y45" i="11"/>
  <c r="I47" i="18" s="1"/>
  <c r="X45" i="11"/>
  <c r="W45" i="11"/>
  <c r="S45" i="11"/>
  <c r="R45" i="11"/>
  <c r="Q45" i="11"/>
  <c r="T45" i="11" s="1"/>
  <c r="AF45" i="11" s="1"/>
  <c r="AT45" i="11" s="1"/>
  <c r="CD44" i="11"/>
  <c r="CC44" i="11"/>
  <c r="CB44" i="11"/>
  <c r="BB44" i="11"/>
  <c r="CA44" i="11" s="1"/>
  <c r="BA44" i="11"/>
  <c r="BZ44" i="11" s="1"/>
  <c r="AZ44" i="11"/>
  <c r="BY44" i="11" s="1"/>
  <c r="Y44" i="11"/>
  <c r="X44" i="11"/>
  <c r="W44" i="11"/>
  <c r="S44" i="11"/>
  <c r="R44" i="11"/>
  <c r="U44" i="11" s="1"/>
  <c r="AG44" i="11" s="1"/>
  <c r="AU44" i="11" s="1"/>
  <c r="Q44" i="11"/>
  <c r="CD43" i="11"/>
  <c r="CC43" i="11"/>
  <c r="CB43" i="11"/>
  <c r="CA43" i="11"/>
  <c r="BZ43" i="11"/>
  <c r="BY43" i="11"/>
  <c r="Y43" i="11"/>
  <c r="X43" i="11"/>
  <c r="W43" i="11"/>
  <c r="S43" i="11"/>
  <c r="R43" i="11"/>
  <c r="Q43" i="11"/>
  <c r="CD42" i="11"/>
  <c r="CC42" i="11"/>
  <c r="CB42" i="11"/>
  <c r="CA42" i="11"/>
  <c r="BZ42" i="11"/>
  <c r="BY42" i="11"/>
  <c r="Y42" i="11"/>
  <c r="X42" i="11"/>
  <c r="W42" i="11"/>
  <c r="S42" i="11"/>
  <c r="R42" i="11"/>
  <c r="U42" i="11" s="1"/>
  <c r="AG42" i="11" s="1"/>
  <c r="AU42" i="11" s="1"/>
  <c r="Q42" i="11"/>
  <c r="BB41" i="11"/>
  <c r="CA41" i="11" s="1"/>
  <c r="BA41" i="11"/>
  <c r="BZ41" i="11" s="1"/>
  <c r="AZ41" i="11"/>
  <c r="BY41" i="11" s="1"/>
  <c r="Y41" i="11"/>
  <c r="X41" i="11"/>
  <c r="W41" i="11"/>
  <c r="V41" i="11"/>
  <c r="S41" i="11"/>
  <c r="R41" i="11"/>
  <c r="Q41" i="11"/>
  <c r="T41" i="11" s="1"/>
  <c r="AF41" i="11" s="1"/>
  <c r="AT41" i="11" s="1"/>
  <c r="BB40" i="11"/>
  <c r="CA40" i="11" s="1"/>
  <c r="BA40" i="11"/>
  <c r="BZ40" i="11" s="1"/>
  <c r="AZ40" i="11"/>
  <c r="BY40" i="11" s="1"/>
  <c r="Y40" i="11"/>
  <c r="X40" i="11"/>
  <c r="W40" i="11"/>
  <c r="S40" i="11"/>
  <c r="R40" i="11"/>
  <c r="Q40" i="11"/>
  <c r="CD39" i="11"/>
  <c r="CC39" i="11"/>
  <c r="CB39" i="11"/>
  <c r="CA39" i="11"/>
  <c r="BZ39" i="11"/>
  <c r="BY39" i="11"/>
  <c r="Y39" i="11"/>
  <c r="X39" i="11"/>
  <c r="W39" i="11"/>
  <c r="S39" i="11"/>
  <c r="R39" i="11"/>
  <c r="Q39" i="11"/>
  <c r="BB38" i="11"/>
  <c r="CA38" i="11" s="1"/>
  <c r="BA38" i="11"/>
  <c r="BZ38" i="11" s="1"/>
  <c r="AZ38" i="11"/>
  <c r="BY38" i="11" s="1"/>
  <c r="AY38" i="11"/>
  <c r="BX38" i="11" s="1"/>
  <c r="Y38" i="11"/>
  <c r="I40" i="18" s="1"/>
  <c r="X38" i="11"/>
  <c r="W38" i="11"/>
  <c r="V38" i="11"/>
  <c r="AH38" i="11" s="1"/>
  <c r="AV38" i="11" s="1"/>
  <c r="S38" i="11"/>
  <c r="R38" i="11"/>
  <c r="Q38" i="11"/>
  <c r="CD37" i="11"/>
  <c r="CC37" i="11"/>
  <c r="CB37" i="11"/>
  <c r="BY37" i="11"/>
  <c r="BB37" i="11"/>
  <c r="CA37" i="11" s="1"/>
  <c r="BA37" i="11"/>
  <c r="BZ37" i="11" s="1"/>
  <c r="AZ37" i="11"/>
  <c r="AX37" i="11"/>
  <c r="BW37" i="11" s="1"/>
  <c r="Y37" i="11"/>
  <c r="X37" i="11"/>
  <c r="G39" i="18" s="1"/>
  <c r="W37" i="11"/>
  <c r="S37" i="11"/>
  <c r="R37" i="11"/>
  <c r="U37" i="11" s="1"/>
  <c r="AG37" i="11" s="1"/>
  <c r="AU37" i="11" s="1"/>
  <c r="Q37" i="11"/>
  <c r="BB36" i="11"/>
  <c r="CA36" i="11" s="1"/>
  <c r="BA36" i="11"/>
  <c r="BZ36" i="11" s="1"/>
  <c r="AZ36" i="11"/>
  <c r="BY36" i="11" s="1"/>
  <c r="Y36" i="11"/>
  <c r="X36" i="11"/>
  <c r="W36" i="11"/>
  <c r="S36" i="11"/>
  <c r="R36" i="11"/>
  <c r="Q36" i="11"/>
  <c r="T36" i="11" s="1"/>
  <c r="CD35" i="11"/>
  <c r="CC35" i="11"/>
  <c r="CB35" i="11"/>
  <c r="CA35" i="11"/>
  <c r="BZ35" i="11"/>
  <c r="BY35" i="11"/>
  <c r="Y35" i="11"/>
  <c r="X35" i="11"/>
  <c r="W35" i="11"/>
  <c r="S35" i="11"/>
  <c r="V35" i="11" s="1"/>
  <c r="R35" i="11"/>
  <c r="Q35" i="11"/>
  <c r="T35" i="11" s="1"/>
  <c r="AF35" i="11" s="1"/>
  <c r="AT35" i="11" s="1"/>
  <c r="BB34" i="11"/>
  <c r="CA34" i="11" s="1"/>
  <c r="BA34" i="11"/>
  <c r="BZ34" i="11" s="1"/>
  <c r="AZ34" i="11"/>
  <c r="BY34" i="11" s="1"/>
  <c r="Y34" i="11"/>
  <c r="X34" i="11"/>
  <c r="W34" i="11"/>
  <c r="S34" i="11"/>
  <c r="R34" i="11"/>
  <c r="U34" i="11" s="1"/>
  <c r="Q34" i="11"/>
  <c r="BB33" i="11"/>
  <c r="CA33" i="11" s="1"/>
  <c r="BA33" i="11"/>
  <c r="BZ33" i="11" s="1"/>
  <c r="AZ33" i="11"/>
  <c r="BY33" i="11" s="1"/>
  <c r="Y33" i="11"/>
  <c r="I35" i="18" s="1"/>
  <c r="X33" i="11"/>
  <c r="W33" i="11"/>
  <c r="S33" i="11"/>
  <c r="V33" i="11" s="1"/>
  <c r="R33" i="11"/>
  <c r="Q33" i="11"/>
  <c r="T33" i="11" s="1"/>
  <c r="CD32" i="11"/>
  <c r="CC32" i="11"/>
  <c r="CB32" i="11"/>
  <c r="CA32" i="11"/>
  <c r="BZ32" i="11"/>
  <c r="BY32" i="11"/>
  <c r="Y32" i="11"/>
  <c r="X32" i="11"/>
  <c r="W32" i="11"/>
  <c r="S32" i="11"/>
  <c r="V32" i="11" s="1"/>
  <c r="R32" i="11"/>
  <c r="Q32" i="11"/>
  <c r="BB31" i="11"/>
  <c r="CA31" i="11" s="1"/>
  <c r="BA31" i="11"/>
  <c r="BZ31" i="11" s="1"/>
  <c r="AZ31" i="11"/>
  <c r="BY31" i="11" s="1"/>
  <c r="Y31" i="11"/>
  <c r="X31" i="11"/>
  <c r="W31" i="11"/>
  <c r="S31" i="11"/>
  <c r="R31" i="11"/>
  <c r="Q31" i="11"/>
  <c r="CD30" i="11"/>
  <c r="CC30" i="11"/>
  <c r="CB30" i="11"/>
  <c r="CA30" i="11"/>
  <c r="BZ30" i="11"/>
  <c r="BY30" i="11"/>
  <c r="Y30" i="11"/>
  <c r="X30" i="11"/>
  <c r="W30" i="11"/>
  <c r="S30" i="11"/>
  <c r="R30" i="11"/>
  <c r="U30" i="11" s="1"/>
  <c r="AG30" i="11" s="1"/>
  <c r="AU30" i="11" s="1"/>
  <c r="Q30" i="11"/>
  <c r="BB29" i="11"/>
  <c r="CA29" i="11" s="1"/>
  <c r="BA29" i="11"/>
  <c r="BZ29" i="11" s="1"/>
  <c r="AZ29" i="11"/>
  <c r="BY29" i="11" s="1"/>
  <c r="AY29" i="11"/>
  <c r="BX29" i="11" s="1"/>
  <c r="Y29" i="11"/>
  <c r="I31" i="18" s="1"/>
  <c r="X29" i="11"/>
  <c r="W29" i="11"/>
  <c r="S29" i="11"/>
  <c r="V29" i="11" s="1"/>
  <c r="AH29" i="11" s="1"/>
  <c r="AV29" i="11" s="1"/>
  <c r="BH29" i="11" s="1"/>
  <c r="BU29" i="11" s="1"/>
  <c r="R29" i="11"/>
  <c r="Q29" i="11"/>
  <c r="T29" i="11" s="1"/>
  <c r="CD28" i="11"/>
  <c r="CC28" i="11"/>
  <c r="CB28" i="11"/>
  <c r="CA28" i="11"/>
  <c r="BZ28" i="11"/>
  <c r="BY28" i="11"/>
  <c r="Y28" i="11"/>
  <c r="X28" i="11"/>
  <c r="W28" i="11"/>
  <c r="S28" i="11"/>
  <c r="V28" i="11" s="1"/>
  <c r="R28" i="11"/>
  <c r="Q28" i="11"/>
  <c r="T28" i="11" s="1"/>
  <c r="AF28" i="11" s="1"/>
  <c r="AT28" i="11" s="1"/>
  <c r="CD27" i="11"/>
  <c r="CC27" i="11"/>
  <c r="CB27" i="11"/>
  <c r="CA27" i="11"/>
  <c r="BZ27" i="11"/>
  <c r="BY27" i="11"/>
  <c r="Y27" i="11"/>
  <c r="X27" i="11"/>
  <c r="W27" i="11"/>
  <c r="S27" i="11"/>
  <c r="R27" i="11"/>
  <c r="Q27" i="11"/>
  <c r="T27" i="11" s="1"/>
  <c r="AF27" i="11" s="1"/>
  <c r="CD26" i="11"/>
  <c r="CC26" i="11"/>
  <c r="CB26" i="11"/>
  <c r="BB26" i="11"/>
  <c r="CA26" i="11" s="1"/>
  <c r="BA26" i="11"/>
  <c r="BZ26" i="11" s="1"/>
  <c r="AZ26" i="11"/>
  <c r="BY26" i="11" s="1"/>
  <c r="AX26" i="11"/>
  <c r="BW26" i="11" s="1"/>
  <c r="Y26" i="11"/>
  <c r="X26" i="11"/>
  <c r="G28" i="18" s="1"/>
  <c r="W26" i="11"/>
  <c r="S26" i="11"/>
  <c r="R26" i="11"/>
  <c r="U26" i="11" s="1"/>
  <c r="AG26" i="11" s="1"/>
  <c r="AU26" i="11" s="1"/>
  <c r="Q26" i="11"/>
  <c r="CD25" i="11"/>
  <c r="CC25" i="11"/>
  <c r="CB25" i="11"/>
  <c r="BB25" i="11"/>
  <c r="CA25" i="11" s="1"/>
  <c r="BA25" i="11"/>
  <c r="BZ25" i="11" s="1"/>
  <c r="AZ25" i="11"/>
  <c r="BY25" i="11" s="1"/>
  <c r="AW25" i="11"/>
  <c r="BV25" i="11" s="1"/>
  <c r="Y25" i="11"/>
  <c r="X25" i="11"/>
  <c r="W25" i="11"/>
  <c r="S25" i="11"/>
  <c r="R25" i="11"/>
  <c r="Q25" i="11"/>
  <c r="T25" i="11" s="1"/>
  <c r="CD24" i="11"/>
  <c r="CC24" i="11"/>
  <c r="CB24" i="11"/>
  <c r="CA24" i="11"/>
  <c r="BZ24" i="11"/>
  <c r="BY24" i="11"/>
  <c r="Y24" i="11"/>
  <c r="I26" i="18" s="1"/>
  <c r="X24" i="11"/>
  <c r="W24" i="11"/>
  <c r="S24" i="11"/>
  <c r="V24" i="11" s="1"/>
  <c r="R24" i="11"/>
  <c r="Q24" i="11"/>
  <c r="T24" i="11" s="1"/>
  <c r="CD23" i="11"/>
  <c r="CC23" i="11"/>
  <c r="CB23" i="11"/>
  <c r="CA23" i="11"/>
  <c r="BZ23" i="11"/>
  <c r="BY23" i="11"/>
  <c r="Y23" i="11"/>
  <c r="X23" i="11"/>
  <c r="W23" i="11"/>
  <c r="S23" i="11"/>
  <c r="V23" i="11" s="1"/>
  <c r="R23" i="11"/>
  <c r="Q23" i="11"/>
  <c r="BB22" i="11"/>
  <c r="CA22" i="11" s="1"/>
  <c r="BA22" i="11"/>
  <c r="BZ22" i="11" s="1"/>
  <c r="AZ22" i="11"/>
  <c r="BY22" i="11" s="1"/>
  <c r="Y22" i="11"/>
  <c r="X22" i="11"/>
  <c r="W22" i="11"/>
  <c r="S22" i="11"/>
  <c r="R22" i="11"/>
  <c r="U22" i="11" s="1"/>
  <c r="Q22" i="11"/>
  <c r="CD21" i="11"/>
  <c r="CC21" i="11"/>
  <c r="CB21" i="11"/>
  <c r="BB21" i="11"/>
  <c r="CA21" i="11" s="1"/>
  <c r="BA21" i="11"/>
  <c r="BZ21" i="11" s="1"/>
  <c r="AZ21" i="11"/>
  <c r="BY21" i="11" s="1"/>
  <c r="AY21" i="11"/>
  <c r="BX21" i="11" s="1"/>
  <c r="Y21" i="11"/>
  <c r="I23" i="18" s="1"/>
  <c r="X21" i="11"/>
  <c r="W21" i="11"/>
  <c r="S21" i="11"/>
  <c r="V21" i="11" s="1"/>
  <c r="R21" i="11"/>
  <c r="Q21" i="11"/>
  <c r="T21" i="11" s="1"/>
  <c r="CD20" i="11"/>
  <c r="CC20" i="11"/>
  <c r="CB20" i="11"/>
  <c r="BB20" i="11"/>
  <c r="CA20" i="11" s="1"/>
  <c r="BA20" i="11"/>
  <c r="BZ20" i="11" s="1"/>
  <c r="AZ20" i="11"/>
  <c r="BY20" i="11" s="1"/>
  <c r="AX20" i="11"/>
  <c r="BW20" i="11" s="1"/>
  <c r="Y20" i="11"/>
  <c r="X20" i="11"/>
  <c r="W20" i="11"/>
  <c r="S20" i="11"/>
  <c r="V20" i="11" s="1"/>
  <c r="R20" i="11"/>
  <c r="U20" i="11" s="1"/>
  <c r="AG20" i="11" s="1"/>
  <c r="AU20" i="11" s="1"/>
  <c r="Q20" i="11"/>
  <c r="T20" i="11" s="1"/>
  <c r="AF20" i="11" s="1"/>
  <c r="AT20" i="11" s="1"/>
  <c r="CD19" i="11"/>
  <c r="CC19" i="11"/>
  <c r="CB19" i="11"/>
  <c r="BB19" i="11"/>
  <c r="CA19" i="11" s="1"/>
  <c r="BA19" i="11"/>
  <c r="BZ19" i="11" s="1"/>
  <c r="AZ19" i="11"/>
  <c r="BY19" i="11" s="1"/>
  <c r="Y19" i="11"/>
  <c r="X19" i="11"/>
  <c r="W19" i="11"/>
  <c r="S19" i="11"/>
  <c r="V19" i="11" s="1"/>
  <c r="R19" i="11"/>
  <c r="U19" i="11" s="1"/>
  <c r="Q19" i="11"/>
  <c r="T19" i="11" s="1"/>
  <c r="AF19" i="11" s="1"/>
  <c r="AT19" i="11" s="1"/>
  <c r="BB18" i="11"/>
  <c r="BA18" i="11"/>
  <c r="AZ18" i="11"/>
  <c r="AY18" i="11"/>
  <c r="BX18" i="11" s="1"/>
  <c r="Y18" i="11"/>
  <c r="I20" i="18" s="1"/>
  <c r="X18" i="11"/>
  <c r="W18" i="11"/>
  <c r="S18" i="11"/>
  <c r="V18" i="11" s="1"/>
  <c r="R18" i="11"/>
  <c r="U18" i="11" s="1"/>
  <c r="AG18" i="11" s="1"/>
  <c r="AU18" i="11" s="1"/>
  <c r="Q18" i="11"/>
  <c r="T18" i="11" s="1"/>
  <c r="CD17" i="11"/>
  <c r="CC17" i="11"/>
  <c r="CB17" i="11"/>
  <c r="BB17" i="11"/>
  <c r="CA17" i="11" s="1"/>
  <c r="BA17" i="11"/>
  <c r="BZ17" i="11" s="1"/>
  <c r="AZ17" i="11"/>
  <c r="BY17" i="11" s="1"/>
  <c r="Y17" i="11"/>
  <c r="X17" i="11"/>
  <c r="W17" i="11"/>
  <c r="S17" i="11"/>
  <c r="V17" i="11" s="1"/>
  <c r="R17" i="11"/>
  <c r="U17" i="11" s="1"/>
  <c r="Q17" i="11"/>
  <c r="BB16" i="11"/>
  <c r="BA16" i="11"/>
  <c r="AZ16" i="11"/>
  <c r="Y16" i="11"/>
  <c r="X16" i="11"/>
  <c r="W16" i="11"/>
  <c r="S16" i="11"/>
  <c r="R16" i="11"/>
  <c r="U16" i="11" s="1"/>
  <c r="AG16" i="11" s="1"/>
  <c r="AU16" i="11" s="1"/>
  <c r="Q16" i="11"/>
  <c r="T16" i="11" s="1"/>
  <c r="AF16" i="11" s="1"/>
  <c r="AT16" i="11" s="1"/>
  <c r="BB15" i="11"/>
  <c r="BA15" i="11"/>
  <c r="AZ15" i="11"/>
  <c r="Y15" i="11"/>
  <c r="X15" i="11"/>
  <c r="W15" i="11"/>
  <c r="S15" i="11"/>
  <c r="V15" i="11" s="1"/>
  <c r="R15" i="11"/>
  <c r="U15" i="11" s="1"/>
  <c r="Q15" i="11"/>
  <c r="BB14" i="11"/>
  <c r="BA14" i="11"/>
  <c r="AZ14" i="11"/>
  <c r="Y14" i="11"/>
  <c r="X14" i="11"/>
  <c r="W14" i="11"/>
  <c r="S14" i="11"/>
  <c r="R14" i="11"/>
  <c r="U14" i="11" s="1"/>
  <c r="Q14" i="11"/>
  <c r="T14" i="11" s="1"/>
  <c r="BB13" i="11"/>
  <c r="BA13" i="11"/>
  <c r="AZ13" i="11"/>
  <c r="Y13" i="11"/>
  <c r="X13" i="11"/>
  <c r="G15" i="18" s="1"/>
  <c r="W13" i="11"/>
  <c r="S13" i="11"/>
  <c r="V13" i="11" s="1"/>
  <c r="R13" i="11"/>
  <c r="U13" i="11" s="1"/>
  <c r="Q13" i="11"/>
  <c r="CD12" i="11"/>
  <c r="CC12" i="11"/>
  <c r="CB12" i="11"/>
  <c r="BB12" i="11"/>
  <c r="CA12" i="11" s="1"/>
  <c r="BA12" i="11"/>
  <c r="BZ12" i="11" s="1"/>
  <c r="AZ12" i="11"/>
  <c r="BY12" i="11" s="1"/>
  <c r="Y12" i="11"/>
  <c r="X12" i="11"/>
  <c r="W12" i="11"/>
  <c r="S12" i="11"/>
  <c r="R12" i="11"/>
  <c r="Q12" i="11"/>
  <c r="T12" i="11" s="1"/>
  <c r="CD11" i="11"/>
  <c r="CC11" i="11"/>
  <c r="CB11" i="11"/>
  <c r="BB11" i="11"/>
  <c r="CA11" i="11" s="1"/>
  <c r="BA11" i="11"/>
  <c r="BZ11" i="11" s="1"/>
  <c r="AZ11" i="11"/>
  <c r="BY11" i="11" s="1"/>
  <c r="Y11" i="11"/>
  <c r="X11" i="11"/>
  <c r="W11" i="11"/>
  <c r="S11" i="11"/>
  <c r="R11" i="11"/>
  <c r="U11" i="11" s="1"/>
  <c r="Q11" i="11"/>
  <c r="T11" i="11" s="1"/>
  <c r="AF11" i="11" s="1"/>
  <c r="AT11" i="11" s="1"/>
  <c r="BB10" i="11"/>
  <c r="BA10" i="11"/>
  <c r="AZ10" i="11"/>
  <c r="Y10" i="11"/>
  <c r="X10" i="11"/>
  <c r="W10" i="11"/>
  <c r="S10" i="11"/>
  <c r="V10" i="11" s="1"/>
  <c r="R10" i="11"/>
  <c r="Q10" i="11"/>
  <c r="CD9" i="11"/>
  <c r="CC9" i="11"/>
  <c r="CB9" i="11"/>
  <c r="BB9" i="11"/>
  <c r="CA9" i="11" s="1"/>
  <c r="BA9" i="11"/>
  <c r="BZ9" i="11" s="1"/>
  <c r="AZ9" i="11"/>
  <c r="BY9" i="11" s="1"/>
  <c r="AY9" i="11"/>
  <c r="BX9" i="11" s="1"/>
  <c r="Y9" i="11"/>
  <c r="I11" i="18" s="1"/>
  <c r="X9" i="11"/>
  <c r="W9" i="11"/>
  <c r="V9" i="11"/>
  <c r="AS9" i="11" s="1"/>
  <c r="S9" i="11"/>
  <c r="R9" i="11"/>
  <c r="Q9" i="11"/>
  <c r="T9" i="11" s="1"/>
  <c r="AF9" i="11" s="1"/>
  <c r="AT9" i="11" s="1"/>
  <c r="CD8" i="11"/>
  <c r="CC8" i="11"/>
  <c r="CB8" i="11"/>
  <c r="BB8" i="11"/>
  <c r="CA8" i="11" s="1"/>
  <c r="BA8" i="11"/>
  <c r="BZ8" i="11" s="1"/>
  <c r="AZ8" i="11"/>
  <c r="BY8" i="11" s="1"/>
  <c r="Y8" i="11"/>
  <c r="X8" i="11"/>
  <c r="W8" i="11"/>
  <c r="S8" i="11"/>
  <c r="R8" i="11"/>
  <c r="U8" i="11" s="1"/>
  <c r="Q8" i="11"/>
  <c r="T8" i="11" s="1"/>
  <c r="AF8" i="11" s="1"/>
  <c r="AT8" i="11" s="1"/>
  <c r="CD7" i="11"/>
  <c r="CC7" i="11"/>
  <c r="CB7" i="11"/>
  <c r="BB7" i="11"/>
  <c r="BA7" i="11"/>
  <c r="AZ7" i="11"/>
  <c r="BY7" i="11" s="1"/>
  <c r="Y7" i="11"/>
  <c r="X7" i="11"/>
  <c r="W7" i="11"/>
  <c r="S7" i="11"/>
  <c r="V7" i="11" s="1"/>
  <c r="R7" i="11"/>
  <c r="U7" i="11" s="1"/>
  <c r="Q7" i="11"/>
  <c r="T7" i="11" s="1"/>
  <c r="CD6" i="11"/>
  <c r="CC6" i="11"/>
  <c r="CB6" i="11"/>
  <c r="Y6" i="11"/>
  <c r="X6" i="11"/>
  <c r="W6" i="11"/>
  <c r="S6" i="11"/>
  <c r="R6" i="11"/>
  <c r="U6" i="11" s="1"/>
  <c r="Q6" i="11"/>
  <c r="CD5" i="11"/>
  <c r="CC5" i="11"/>
  <c r="CB5" i="11"/>
  <c r="Y5" i="11"/>
  <c r="X5" i="11"/>
  <c r="W5" i="11"/>
  <c r="S5" i="11"/>
  <c r="V5" i="11" s="1"/>
  <c r="R5" i="11"/>
  <c r="Q5" i="11"/>
  <c r="T5" i="11" s="1"/>
  <c r="AF5" i="11" s="1"/>
  <c r="CA4" i="11"/>
  <c r="BZ4" i="11"/>
  <c r="BY4" i="11"/>
  <c r="Y4" i="11"/>
  <c r="X4" i="11"/>
  <c r="W4" i="11"/>
  <c r="AW4" i="11" s="1"/>
  <c r="S4" i="11"/>
  <c r="V4" i="11" s="1"/>
  <c r="R4" i="11"/>
  <c r="Q4" i="11"/>
  <c r="N66" i="12" l="1"/>
  <c r="B68" i="18"/>
  <c r="K62" i="12"/>
  <c r="L62" i="12" s="1"/>
  <c r="L58" i="12"/>
  <c r="K5" i="12"/>
  <c r="K50" i="12"/>
  <c r="L50" i="12" s="1"/>
  <c r="L54" i="12"/>
  <c r="L46" i="12"/>
  <c r="K21" i="12"/>
  <c r="L21" i="12" s="1"/>
  <c r="K25" i="12"/>
  <c r="L25" i="12" s="1"/>
  <c r="K13" i="12"/>
  <c r="L13" i="12" s="1"/>
  <c r="K16" i="12"/>
  <c r="L16" i="12" s="1"/>
  <c r="K70" i="12"/>
  <c r="L70" i="12" s="1"/>
  <c r="K74" i="12"/>
  <c r="L74" i="12" s="1"/>
  <c r="K8" i="12"/>
  <c r="L8" i="12" s="1"/>
  <c r="K41" i="12"/>
  <c r="L41" i="12" s="1"/>
  <c r="BF28" i="11"/>
  <c r="BS28" i="11" s="1"/>
  <c r="AW7" i="11"/>
  <c r="BV7" i="11" s="1"/>
  <c r="AX29" i="11"/>
  <c r="BW29" i="11" s="1"/>
  <c r="G31" i="18"/>
  <c r="AY47" i="11"/>
  <c r="BX47" i="11" s="1"/>
  <c r="I49" i="18"/>
  <c r="AW54" i="11"/>
  <c r="BV54" i="11" s="1"/>
  <c r="AW12" i="11"/>
  <c r="BV12" i="11" s="1"/>
  <c r="AY14" i="11"/>
  <c r="BX14" i="11" s="1"/>
  <c r="I16" i="18"/>
  <c r="AX15" i="11"/>
  <c r="BW15" i="11" s="1"/>
  <c r="G17" i="18"/>
  <c r="AW16" i="11"/>
  <c r="BV16" i="11" s="1"/>
  <c r="AX19" i="11"/>
  <c r="BW19" i="11" s="1"/>
  <c r="G21" i="18"/>
  <c r="AY22" i="11"/>
  <c r="BX22" i="11" s="1"/>
  <c r="I24" i="18"/>
  <c r="AX23" i="11"/>
  <c r="BW23" i="11" s="1"/>
  <c r="G25" i="18"/>
  <c r="AW28" i="11"/>
  <c r="BV28" i="11" s="1"/>
  <c r="AY30" i="11"/>
  <c r="BX30" i="11" s="1"/>
  <c r="I32" i="18"/>
  <c r="AX33" i="11"/>
  <c r="BW33" i="11" s="1"/>
  <c r="G35" i="18"/>
  <c r="BH38" i="11"/>
  <c r="BU38" i="11" s="1"/>
  <c r="AX40" i="11"/>
  <c r="BW40" i="11" s="1"/>
  <c r="G42" i="18"/>
  <c r="AY43" i="11"/>
  <c r="BX43" i="11" s="1"/>
  <c r="I45" i="18"/>
  <c r="AX45" i="11"/>
  <c r="BW45" i="11" s="1"/>
  <c r="G47" i="18"/>
  <c r="AY48" i="11"/>
  <c r="BX48" i="11" s="1"/>
  <c r="AX49" i="11"/>
  <c r="BW49" i="11" s="1"/>
  <c r="G51" i="18"/>
  <c r="AX52" i="11"/>
  <c r="BW52" i="11" s="1"/>
  <c r="G54" i="18"/>
  <c r="AX57" i="11"/>
  <c r="BW57" i="11" s="1"/>
  <c r="G59" i="18"/>
  <c r="AW59" i="11"/>
  <c r="BV59" i="11" s="1"/>
  <c r="AX61" i="11"/>
  <c r="BW61" i="11" s="1"/>
  <c r="G63" i="18"/>
  <c r="AW64" i="11"/>
  <c r="BV64" i="11" s="1"/>
  <c r="AW67" i="11"/>
  <c r="BV67" i="11" s="1"/>
  <c r="AY69" i="11"/>
  <c r="BX69" i="11" s="1"/>
  <c r="I71" i="18"/>
  <c r="AW70" i="11"/>
  <c r="BV70" i="11" s="1"/>
  <c r="AW72" i="11"/>
  <c r="BV72" i="11" s="1"/>
  <c r="AW74" i="11"/>
  <c r="BV74" i="11" s="1"/>
  <c r="BH75" i="11"/>
  <c r="BU75" i="11" s="1"/>
  <c r="CG75" i="11" s="1"/>
  <c r="AY5" i="11"/>
  <c r="BX5" i="11" s="1"/>
  <c r="I7" i="18"/>
  <c r="AY10" i="11"/>
  <c r="BX10" i="11" s="1"/>
  <c r="I12" i="18"/>
  <c r="AY50" i="11"/>
  <c r="BX50" i="11" s="1"/>
  <c r="I52" i="18"/>
  <c r="AY56" i="11"/>
  <c r="BX56" i="11" s="1"/>
  <c r="I58" i="18"/>
  <c r="AW8" i="11"/>
  <c r="BV8" i="11" s="1"/>
  <c r="AX12" i="11"/>
  <c r="BW12" i="11" s="1"/>
  <c r="G14" i="18"/>
  <c r="AY15" i="11"/>
  <c r="BX15" i="11" s="1"/>
  <c r="I17" i="18"/>
  <c r="AX16" i="11"/>
  <c r="BW16" i="11" s="1"/>
  <c r="G18" i="18"/>
  <c r="AW17" i="11"/>
  <c r="BV17" i="11" s="1"/>
  <c r="AY19" i="11"/>
  <c r="BX19" i="11" s="1"/>
  <c r="I21" i="18"/>
  <c r="AW21" i="11"/>
  <c r="BV21" i="11" s="1"/>
  <c r="AY23" i="11"/>
  <c r="BX23" i="11" s="1"/>
  <c r="I25" i="18"/>
  <c r="AX25" i="11"/>
  <c r="BW25" i="11" s="1"/>
  <c r="G27" i="18"/>
  <c r="AX28" i="11"/>
  <c r="BW28" i="11" s="1"/>
  <c r="G30" i="18"/>
  <c r="AW34" i="11"/>
  <c r="BV34" i="11" s="1"/>
  <c r="AW36" i="11"/>
  <c r="BV36" i="11" s="1"/>
  <c r="AW38" i="11"/>
  <c r="BV38" i="11" s="1"/>
  <c r="AY40" i="11"/>
  <c r="BX40" i="11" s="1"/>
  <c r="I42" i="18"/>
  <c r="AW41" i="11"/>
  <c r="BV41" i="11" s="1"/>
  <c r="AW46" i="11"/>
  <c r="BV46" i="11" s="1"/>
  <c r="AF48" i="11"/>
  <c r="AT48" i="11" s="1"/>
  <c r="BF48" i="11" s="1"/>
  <c r="BS48" i="11" s="1"/>
  <c r="AY49" i="11"/>
  <c r="BX49" i="11" s="1"/>
  <c r="I51" i="18"/>
  <c r="AY52" i="11"/>
  <c r="BX52" i="11" s="1"/>
  <c r="I54" i="18"/>
  <c r="AY57" i="11"/>
  <c r="BX57" i="11" s="1"/>
  <c r="I59" i="18"/>
  <c r="AX59" i="11"/>
  <c r="BW59" i="11" s="1"/>
  <c r="G61" i="18"/>
  <c r="AW60" i="11"/>
  <c r="BV60" i="11" s="1"/>
  <c r="AY61" i="11"/>
  <c r="BX61" i="11" s="1"/>
  <c r="I63" i="18"/>
  <c r="AW62" i="11"/>
  <c r="BV62" i="11" s="1"/>
  <c r="AX64" i="11"/>
  <c r="BW64" i="11" s="1"/>
  <c r="G66" i="18"/>
  <c r="AW65" i="11"/>
  <c r="BV65" i="11" s="1"/>
  <c r="AX67" i="11"/>
  <c r="BW67" i="11" s="1"/>
  <c r="G69" i="18"/>
  <c r="AX70" i="11"/>
  <c r="BW70" i="11" s="1"/>
  <c r="G72" i="18"/>
  <c r="AX72" i="11"/>
  <c r="BW72" i="11" s="1"/>
  <c r="G74" i="18"/>
  <c r="AX74" i="11"/>
  <c r="BW74" i="11" s="1"/>
  <c r="G76" i="18"/>
  <c r="AW75" i="11"/>
  <c r="BV75" i="11" s="1"/>
  <c r="BF16" i="11"/>
  <c r="BS16" i="11" s="1"/>
  <c r="AW26" i="11"/>
  <c r="BV26" i="11" s="1"/>
  <c r="AY32" i="11"/>
  <c r="BX32" i="11" s="1"/>
  <c r="I34" i="18"/>
  <c r="AY63" i="11"/>
  <c r="BX63" i="11" s="1"/>
  <c r="I65" i="18"/>
  <c r="AX68" i="11"/>
  <c r="BW68" i="11" s="1"/>
  <c r="G70" i="18"/>
  <c r="AX73" i="11"/>
  <c r="BW73" i="11" s="1"/>
  <c r="G75" i="18"/>
  <c r="AF7" i="11"/>
  <c r="AT7" i="11" s="1"/>
  <c r="AX8" i="11"/>
  <c r="BW8" i="11" s="1"/>
  <c r="G10" i="18"/>
  <c r="AY12" i="11"/>
  <c r="BX12" i="11" s="1"/>
  <c r="I14" i="18"/>
  <c r="AY16" i="11"/>
  <c r="BX16" i="11" s="1"/>
  <c r="I18" i="18"/>
  <c r="AX17" i="11"/>
  <c r="BW17" i="11" s="1"/>
  <c r="G19" i="18"/>
  <c r="AX21" i="11"/>
  <c r="BW21" i="11" s="1"/>
  <c r="G23" i="18"/>
  <c r="AH24" i="11"/>
  <c r="AV24" i="11" s="1"/>
  <c r="AY25" i="11"/>
  <c r="BX25" i="11" s="1"/>
  <c r="I27" i="18"/>
  <c r="AY28" i="11"/>
  <c r="BX28" i="11" s="1"/>
  <c r="I30" i="18"/>
  <c r="AW31" i="11"/>
  <c r="BV31" i="11" s="1"/>
  <c r="AY33" i="11"/>
  <c r="BX33" i="11" s="1"/>
  <c r="AX34" i="11"/>
  <c r="BW34" i="11" s="1"/>
  <c r="G36" i="18"/>
  <c r="AX36" i="11"/>
  <c r="BW36" i="11" s="1"/>
  <c r="G38" i="18"/>
  <c r="AW37" i="11"/>
  <c r="BV37" i="11" s="1"/>
  <c r="AX38" i="11"/>
  <c r="BW38" i="11" s="1"/>
  <c r="G40" i="18"/>
  <c r="AX41" i="11"/>
  <c r="BW41" i="11" s="1"/>
  <c r="G43" i="18"/>
  <c r="AW42" i="11"/>
  <c r="BV42" i="11" s="1"/>
  <c r="AW44" i="11"/>
  <c r="BV44" i="11" s="1"/>
  <c r="AY45" i="11"/>
  <c r="BX45" i="11" s="1"/>
  <c r="AX46" i="11"/>
  <c r="BW46" i="11" s="1"/>
  <c r="G48" i="18"/>
  <c r="AF54" i="11"/>
  <c r="AT54" i="11" s="1"/>
  <c r="BF54" i="11" s="1"/>
  <c r="AW55" i="11"/>
  <c r="BV55" i="11" s="1"/>
  <c r="AY59" i="11"/>
  <c r="BX59" i="11" s="1"/>
  <c r="I61" i="18"/>
  <c r="AX60" i="11"/>
  <c r="BW60" i="11" s="1"/>
  <c r="G62" i="18"/>
  <c r="AX62" i="11"/>
  <c r="BW62" i="11" s="1"/>
  <c r="G64" i="18"/>
  <c r="AH63" i="11"/>
  <c r="AV63" i="11" s="1"/>
  <c r="AY64" i="11"/>
  <c r="BX64" i="11" s="1"/>
  <c r="I66" i="18"/>
  <c r="AX65" i="11"/>
  <c r="BW65" i="11" s="1"/>
  <c r="G67" i="18"/>
  <c r="AY67" i="11"/>
  <c r="BX67" i="11" s="1"/>
  <c r="I69" i="18"/>
  <c r="AY70" i="11"/>
  <c r="BX70" i="11" s="1"/>
  <c r="I72" i="18"/>
  <c r="AG71" i="11"/>
  <c r="AU71" i="11" s="1"/>
  <c r="AY72" i="11"/>
  <c r="BX72" i="11" s="1"/>
  <c r="I74" i="18"/>
  <c r="AG73" i="11"/>
  <c r="AU73" i="11" s="1"/>
  <c r="AY74" i="11"/>
  <c r="BX74" i="11" s="1"/>
  <c r="I76" i="18"/>
  <c r="AX75" i="11"/>
  <c r="BW75" i="11" s="1"/>
  <c r="G77" i="18"/>
  <c r="AX6" i="11"/>
  <c r="BW6" i="11" s="1"/>
  <c r="G8" i="18"/>
  <c r="AY51" i="11"/>
  <c r="BX51" i="11" s="1"/>
  <c r="I53" i="18"/>
  <c r="AG6" i="11"/>
  <c r="AX4" i="11"/>
  <c r="G6" i="18"/>
  <c r="AW5" i="11"/>
  <c r="BV5" i="11" s="1"/>
  <c r="AY8" i="11"/>
  <c r="BX8" i="11" s="1"/>
  <c r="I10" i="18"/>
  <c r="AW10" i="11"/>
  <c r="BV10" i="11" s="1"/>
  <c r="AF14" i="11"/>
  <c r="AT14" i="11" s="1"/>
  <c r="AY17" i="11"/>
  <c r="BX17" i="11" s="1"/>
  <c r="I19" i="18"/>
  <c r="AW20" i="11"/>
  <c r="BV20" i="11" s="1"/>
  <c r="AW24" i="11"/>
  <c r="BV24" i="11" s="1"/>
  <c r="AW27" i="11"/>
  <c r="BV27" i="11" s="1"/>
  <c r="AX31" i="11"/>
  <c r="BW31" i="11" s="1"/>
  <c r="G33" i="18"/>
  <c r="AW32" i="11"/>
  <c r="BV32" i="11" s="1"/>
  <c r="AY34" i="11"/>
  <c r="BX34" i="11" s="1"/>
  <c r="I36" i="18"/>
  <c r="AY36" i="11"/>
  <c r="BX36" i="11" s="1"/>
  <c r="I38" i="18"/>
  <c r="AW39" i="11"/>
  <c r="BV39" i="11" s="1"/>
  <c r="AY41" i="11"/>
  <c r="BX41" i="11" s="1"/>
  <c r="I43" i="18"/>
  <c r="AX42" i="11"/>
  <c r="BW42" i="11" s="1"/>
  <c r="G44" i="18"/>
  <c r="AX44" i="11"/>
  <c r="BW44" i="11" s="1"/>
  <c r="G46" i="18"/>
  <c r="AY46" i="11"/>
  <c r="BX46" i="11" s="1"/>
  <c r="I48" i="18"/>
  <c r="AW47" i="11"/>
  <c r="BV47" i="11" s="1"/>
  <c r="AW50" i="11"/>
  <c r="BV50" i="11" s="1"/>
  <c r="AW51" i="11"/>
  <c r="BV51" i="11" s="1"/>
  <c r="AX55" i="11"/>
  <c r="BW55" i="11" s="1"/>
  <c r="G57" i="18"/>
  <c r="AW56" i="11"/>
  <c r="BV56" i="11" s="1"/>
  <c r="AW58" i="11"/>
  <c r="BV58" i="11" s="1"/>
  <c r="AY60" i="11"/>
  <c r="BX60" i="11" s="1"/>
  <c r="I62" i="18"/>
  <c r="AW63" i="11"/>
  <c r="BV63" i="11" s="1"/>
  <c r="AY65" i="11"/>
  <c r="BX65" i="11" s="1"/>
  <c r="I67" i="18"/>
  <c r="AW66" i="11"/>
  <c r="BV66" i="11" s="1"/>
  <c r="BF69" i="11"/>
  <c r="BS69" i="11" s="1"/>
  <c r="AY75" i="11"/>
  <c r="BX75" i="11" s="1"/>
  <c r="I77" i="18"/>
  <c r="AY20" i="11"/>
  <c r="BX20" i="11" s="1"/>
  <c r="I22" i="18"/>
  <c r="AY4" i="11"/>
  <c r="BX4" i="11" s="1"/>
  <c r="I6" i="18"/>
  <c r="AX5" i="11"/>
  <c r="BW5" i="11" s="1"/>
  <c r="G7" i="18"/>
  <c r="AW6" i="11"/>
  <c r="BV6" i="11" s="1"/>
  <c r="AX10" i="11"/>
  <c r="BW10" i="11" s="1"/>
  <c r="G12" i="18"/>
  <c r="AW11" i="11"/>
  <c r="BV11" i="11" s="1"/>
  <c r="AW13" i="11"/>
  <c r="BV13" i="11" s="1"/>
  <c r="AX24" i="11"/>
  <c r="BW24" i="11" s="1"/>
  <c r="G26" i="18"/>
  <c r="AX27" i="11"/>
  <c r="BW27" i="11" s="1"/>
  <c r="G29" i="18"/>
  <c r="AW29" i="11"/>
  <c r="BV29" i="11" s="1"/>
  <c r="AY31" i="11"/>
  <c r="BX31" i="11" s="1"/>
  <c r="I33" i="18"/>
  <c r="AX32" i="11"/>
  <c r="BW32" i="11" s="1"/>
  <c r="G34" i="18"/>
  <c r="AW35" i="11"/>
  <c r="BV35" i="11" s="1"/>
  <c r="AY37" i="11"/>
  <c r="BX37" i="11" s="1"/>
  <c r="I39" i="18"/>
  <c r="AX39" i="11"/>
  <c r="BW39" i="11" s="1"/>
  <c r="G41" i="18"/>
  <c r="AY42" i="11"/>
  <c r="BX42" i="11" s="1"/>
  <c r="I44" i="18"/>
  <c r="AY44" i="11"/>
  <c r="BX44" i="11" s="1"/>
  <c r="I46" i="18"/>
  <c r="AX47" i="11"/>
  <c r="BW47" i="11" s="1"/>
  <c r="G49" i="18"/>
  <c r="AX51" i="11"/>
  <c r="BW51" i="11" s="1"/>
  <c r="G53" i="18"/>
  <c r="AW53" i="11"/>
  <c r="BV53" i="11" s="1"/>
  <c r="AY55" i="11"/>
  <c r="BX55" i="11" s="1"/>
  <c r="I57" i="18"/>
  <c r="AX56" i="11"/>
  <c r="BW56" i="11" s="1"/>
  <c r="G58" i="18"/>
  <c r="AX58" i="11"/>
  <c r="BW58" i="11" s="1"/>
  <c r="G60" i="18"/>
  <c r="AY62" i="11"/>
  <c r="BX62" i="11" s="1"/>
  <c r="AX63" i="11"/>
  <c r="BW63" i="11" s="1"/>
  <c r="G65" i="18"/>
  <c r="AX66" i="11"/>
  <c r="BW66" i="11" s="1"/>
  <c r="G68" i="18"/>
  <c r="AW68" i="11"/>
  <c r="BV68" i="11" s="1"/>
  <c r="AF70" i="11"/>
  <c r="AT70" i="11" s="1"/>
  <c r="BF70" i="11" s="1"/>
  <c r="AW71" i="11"/>
  <c r="BV71" i="11" s="1"/>
  <c r="AW73" i="11"/>
  <c r="BV73" i="11" s="1"/>
  <c r="AW18" i="11"/>
  <c r="BV18" i="11" s="1"/>
  <c r="AY27" i="11"/>
  <c r="BX27" i="11" s="1"/>
  <c r="I29" i="18"/>
  <c r="AX35" i="11"/>
  <c r="BW35" i="11" s="1"/>
  <c r="G37" i="18"/>
  <c r="AY39" i="11"/>
  <c r="BX39" i="11" s="1"/>
  <c r="I41" i="18"/>
  <c r="AW48" i="11"/>
  <c r="BV48" i="11" s="1"/>
  <c r="AY58" i="11"/>
  <c r="BX58" i="11" s="1"/>
  <c r="I60" i="18"/>
  <c r="AY6" i="11"/>
  <c r="BX6" i="11" s="1"/>
  <c r="I8" i="18"/>
  <c r="AX7" i="11"/>
  <c r="BW7" i="11" s="1"/>
  <c r="G9" i="18"/>
  <c r="BF8" i="11"/>
  <c r="BS8" i="11" s="1"/>
  <c r="CE8" i="11" s="1"/>
  <c r="AW9" i="11"/>
  <c r="BV9" i="11" s="1"/>
  <c r="AY11" i="11"/>
  <c r="BX11" i="11" s="1"/>
  <c r="I13" i="18"/>
  <c r="AY13" i="11"/>
  <c r="BX13" i="11" s="1"/>
  <c r="I15" i="18"/>
  <c r="AW14" i="11"/>
  <c r="BV14" i="11" s="1"/>
  <c r="BG16" i="11"/>
  <c r="BT16" i="11" s="1"/>
  <c r="AX18" i="11"/>
  <c r="BW18" i="11" s="1"/>
  <c r="G20" i="18"/>
  <c r="AW22" i="11"/>
  <c r="BV22" i="11" s="1"/>
  <c r="AS23" i="11"/>
  <c r="AY24" i="11"/>
  <c r="BX24" i="11" s="1"/>
  <c r="AW30" i="11"/>
  <c r="BV30" i="11" s="1"/>
  <c r="AY35" i="11"/>
  <c r="BX35" i="11" s="1"/>
  <c r="I37" i="18"/>
  <c r="AW43" i="11"/>
  <c r="BV43" i="11" s="1"/>
  <c r="AF46" i="11"/>
  <c r="AT46" i="11" s="1"/>
  <c r="AX48" i="11"/>
  <c r="BW48" i="11" s="1"/>
  <c r="G50" i="18"/>
  <c r="AX50" i="11"/>
  <c r="BW50" i="11" s="1"/>
  <c r="AY53" i="11"/>
  <c r="BX53" i="11" s="1"/>
  <c r="I55" i="18"/>
  <c r="AX54" i="11"/>
  <c r="BW54" i="11" s="1"/>
  <c r="G56" i="18"/>
  <c r="AF65" i="11"/>
  <c r="AT65" i="11" s="1"/>
  <c r="AY66" i="11"/>
  <c r="BX66" i="11" s="1"/>
  <c r="AW69" i="11"/>
  <c r="BV69" i="11" s="1"/>
  <c r="AY71" i="11"/>
  <c r="BX71" i="11" s="1"/>
  <c r="I73" i="18"/>
  <c r="AY73" i="11"/>
  <c r="BX73" i="11" s="1"/>
  <c r="I75" i="18"/>
  <c r="AX11" i="11"/>
  <c r="BW11" i="11" s="1"/>
  <c r="G13" i="18"/>
  <c r="AX53" i="11"/>
  <c r="BW53" i="11" s="1"/>
  <c r="G55" i="18"/>
  <c r="AX71" i="11"/>
  <c r="BW71" i="11" s="1"/>
  <c r="G73" i="18"/>
  <c r="AY7" i="11"/>
  <c r="BX7" i="11" s="1"/>
  <c r="BX76" i="11" s="1"/>
  <c r="I9" i="18"/>
  <c r="AX9" i="11"/>
  <c r="BW9" i="11" s="1"/>
  <c r="G11" i="18"/>
  <c r="AX13" i="11"/>
  <c r="BW13" i="11" s="1"/>
  <c r="AX14" i="11"/>
  <c r="BW14" i="11" s="1"/>
  <c r="G16" i="18"/>
  <c r="AW15" i="11"/>
  <c r="BV15" i="11" s="1"/>
  <c r="AW19" i="11"/>
  <c r="BV19" i="11" s="1"/>
  <c r="AX22" i="11"/>
  <c r="BW22" i="11" s="1"/>
  <c r="G24" i="18"/>
  <c r="AW23" i="11"/>
  <c r="BV23" i="11" s="1"/>
  <c r="AY26" i="11"/>
  <c r="BX26" i="11" s="1"/>
  <c r="I28" i="18"/>
  <c r="AX30" i="11"/>
  <c r="BW30" i="11" s="1"/>
  <c r="G32" i="18"/>
  <c r="AW33" i="11"/>
  <c r="BV33" i="11" s="1"/>
  <c r="AW40" i="11"/>
  <c r="BV40" i="11" s="1"/>
  <c r="AX43" i="11"/>
  <c r="BW43" i="11" s="1"/>
  <c r="G45" i="18"/>
  <c r="AW45" i="11"/>
  <c r="BV45" i="11" s="1"/>
  <c r="AW49" i="11"/>
  <c r="BV49" i="11" s="1"/>
  <c r="AW52" i="11"/>
  <c r="BV52" i="11" s="1"/>
  <c r="AY54" i="11"/>
  <c r="BX54" i="11" s="1"/>
  <c r="I56" i="18"/>
  <c r="AW57" i="11"/>
  <c r="BV57" i="11" s="1"/>
  <c r="AW61" i="11"/>
  <c r="BV61" i="11" s="1"/>
  <c r="AY68" i="11"/>
  <c r="BX68" i="11" s="1"/>
  <c r="AX69" i="11"/>
  <c r="BW69" i="11" s="1"/>
  <c r="G71" i="18"/>
  <c r="AS70" i="11"/>
  <c r="AH72" i="11"/>
  <c r="AV72" i="11" s="1"/>
  <c r="BH72" i="11" s="1"/>
  <c r="BU72" i="11" s="1"/>
  <c r="CG72" i="11" s="1"/>
  <c r="BG52" i="11"/>
  <c r="BT52" i="11" s="1"/>
  <c r="CF52" i="11" s="1"/>
  <c r="AG11" i="11"/>
  <c r="AU11" i="11" s="1"/>
  <c r="BG11" i="11" s="1"/>
  <c r="BT11" i="11" s="1"/>
  <c r="CF11" i="11" s="1"/>
  <c r="AG17" i="11"/>
  <c r="AU17" i="11" s="1"/>
  <c r="BG17" i="11" s="1"/>
  <c r="BT17" i="11" s="1"/>
  <c r="CF17" i="11" s="1"/>
  <c r="AG34" i="11"/>
  <c r="AJ34" i="11" s="1"/>
  <c r="BF41" i="11"/>
  <c r="BS41" i="11" s="1"/>
  <c r="AG58" i="11"/>
  <c r="AU58" i="11" s="1"/>
  <c r="BG58" i="11" s="1"/>
  <c r="BT58" i="11" s="1"/>
  <c r="AF68" i="11"/>
  <c r="AT68" i="11" s="1"/>
  <c r="AH7" i="11"/>
  <c r="AV7" i="11" s="1"/>
  <c r="AS19" i="11"/>
  <c r="AF24" i="11"/>
  <c r="AT24" i="11" s="1"/>
  <c r="BF24" i="11" s="1"/>
  <c r="BS24" i="11" s="1"/>
  <c r="CE24" i="11" s="1"/>
  <c r="R76" i="11"/>
  <c r="AG13" i="11"/>
  <c r="AU13" i="11" s="1"/>
  <c r="BG13" i="11" s="1"/>
  <c r="BT13" i="11" s="1"/>
  <c r="CC13" i="11" s="1"/>
  <c r="CF13" i="11" s="1"/>
  <c r="BH24" i="11"/>
  <c r="BU24" i="11" s="1"/>
  <c r="T4" i="11"/>
  <c r="AF4" i="11" s="1"/>
  <c r="AT4" i="11" s="1"/>
  <c r="AG8" i="11"/>
  <c r="AU8" i="11" s="1"/>
  <c r="AG14" i="11"/>
  <c r="AU14" i="11" s="1"/>
  <c r="AF33" i="11"/>
  <c r="AT33" i="11" s="1"/>
  <c r="AF53" i="11"/>
  <c r="AT53" i="11" s="1"/>
  <c r="AG15" i="11"/>
  <c r="AU15" i="11" s="1"/>
  <c r="BG15" i="11" s="1"/>
  <c r="BT15" i="11" s="1"/>
  <c r="AF18" i="11"/>
  <c r="AT18" i="11" s="1"/>
  <c r="BF18" i="11" s="1"/>
  <c r="BS18" i="11" s="1"/>
  <c r="AF21" i="11"/>
  <c r="AT21" i="11" s="1"/>
  <c r="AF29" i="11"/>
  <c r="AT29" i="11" s="1"/>
  <c r="BF29" i="11" s="1"/>
  <c r="BS29" i="11" s="1"/>
  <c r="H76" i="12"/>
  <c r="K4" i="12"/>
  <c r="L12" i="12"/>
  <c r="K14" i="12"/>
  <c r="L14" i="12" s="1"/>
  <c r="K15" i="12"/>
  <c r="L15" i="12" s="1"/>
  <c r="L20" i="12"/>
  <c r="L33" i="12"/>
  <c r="K38" i="12"/>
  <c r="L38" i="12" s="1"/>
  <c r="K40" i="12"/>
  <c r="L40" i="12" s="1"/>
  <c r="K45" i="12"/>
  <c r="L45" i="12" s="1"/>
  <c r="K64" i="12"/>
  <c r="L64" i="12" s="1"/>
  <c r="K72" i="12"/>
  <c r="L72" i="12" s="1"/>
  <c r="J76" i="12"/>
  <c r="L9" i="12"/>
  <c r="L17" i="12"/>
  <c r="K23" i="12"/>
  <c r="L23" i="12" s="1"/>
  <c r="L29" i="12"/>
  <c r="K34" i="12"/>
  <c r="L34" i="12" s="1"/>
  <c r="K36" i="12"/>
  <c r="L36" i="12" s="1"/>
  <c r="K53" i="12"/>
  <c r="L53" i="12" s="1"/>
  <c r="K26" i="12"/>
  <c r="L26" i="12" s="1"/>
  <c r="K28" i="12"/>
  <c r="L28" i="12" s="1"/>
  <c r="K42" i="12"/>
  <c r="L42" i="12" s="1"/>
  <c r="K56" i="12"/>
  <c r="L56" i="12" s="1"/>
  <c r="L5" i="12"/>
  <c r="K6" i="12"/>
  <c r="L6" i="12" s="1"/>
  <c r="K7" i="12"/>
  <c r="L7" i="12" s="1"/>
  <c r="K10" i="12"/>
  <c r="L10" i="12" s="1"/>
  <c r="K11" i="12"/>
  <c r="L11" i="12" s="1"/>
  <c r="K18" i="12"/>
  <c r="L18" i="12" s="1"/>
  <c r="K19" i="12"/>
  <c r="L19" i="12" s="1"/>
  <c r="K24" i="12"/>
  <c r="L24" i="12" s="1"/>
  <c r="K30" i="12"/>
  <c r="L30" i="12" s="1"/>
  <c r="K32" i="12"/>
  <c r="L32" i="12" s="1"/>
  <c r="K37" i="12"/>
  <c r="L37" i="12" s="1"/>
  <c r="K48" i="12"/>
  <c r="L48" i="12" s="1"/>
  <c r="K61" i="12"/>
  <c r="L61" i="12" s="1"/>
  <c r="Q66" i="12"/>
  <c r="R66" i="12" s="1"/>
  <c r="T66" i="12" s="1"/>
  <c r="K69" i="12"/>
  <c r="L69" i="12" s="1"/>
  <c r="K63" i="12"/>
  <c r="L63" i="12" s="1"/>
  <c r="K71" i="12"/>
  <c r="L71" i="12" s="1"/>
  <c r="K22" i="12"/>
  <c r="L22" i="12" s="1"/>
  <c r="L44" i="12"/>
  <c r="L49" i="12"/>
  <c r="L52" i="12"/>
  <c r="L57" i="12"/>
  <c r="L60" i="12"/>
  <c r="L65" i="12"/>
  <c r="L68" i="12"/>
  <c r="L73" i="12"/>
  <c r="K47" i="12"/>
  <c r="L47" i="12" s="1"/>
  <c r="K55" i="12"/>
  <c r="L55" i="12" s="1"/>
  <c r="F76" i="12"/>
  <c r="K27" i="12"/>
  <c r="L27" i="12" s="1"/>
  <c r="K31" i="12"/>
  <c r="L31" i="12" s="1"/>
  <c r="K35" i="12"/>
  <c r="L35" i="12" s="1"/>
  <c r="K39" i="12"/>
  <c r="L39" i="12" s="1"/>
  <c r="K43" i="12"/>
  <c r="L43" i="12" s="1"/>
  <c r="K51" i="12"/>
  <c r="L51" i="12" s="1"/>
  <c r="K59" i="12"/>
  <c r="L59" i="12" s="1"/>
  <c r="K67" i="12"/>
  <c r="L67" i="12" s="1"/>
  <c r="K75" i="12"/>
  <c r="L75" i="12" s="1"/>
  <c r="BF7" i="11"/>
  <c r="BS7" i="11" s="1"/>
  <c r="AS5" i="11"/>
  <c r="AH5" i="11"/>
  <c r="AS18" i="11"/>
  <c r="AH18" i="11"/>
  <c r="AV18" i="11" s="1"/>
  <c r="BH18" i="11" s="1"/>
  <c r="BU18" i="11" s="1"/>
  <c r="BG8" i="11"/>
  <c r="BT8" i="11" s="1"/>
  <c r="CF8" i="11" s="1"/>
  <c r="BG14" i="11"/>
  <c r="BT14" i="11" s="1"/>
  <c r="CC14" i="11" s="1"/>
  <c r="U31" i="11"/>
  <c r="AG31" i="11" s="1"/>
  <c r="AU31" i="11" s="1"/>
  <c r="T32" i="11"/>
  <c r="AF32" i="11" s="1"/>
  <c r="AI32" i="11" s="1"/>
  <c r="AP32" i="11" s="1"/>
  <c r="AH70" i="11"/>
  <c r="AV70" i="11" s="1"/>
  <c r="AI5" i="11"/>
  <c r="AP5" i="11" s="1"/>
  <c r="BF21" i="11"/>
  <c r="BS21" i="11" s="1"/>
  <c r="CE21" i="11" s="1"/>
  <c r="AS33" i="11"/>
  <c r="AH33" i="11"/>
  <c r="U39" i="11"/>
  <c r="AG39" i="11" s="1"/>
  <c r="AJ39" i="11" s="1"/>
  <c r="AQ39" i="11" s="1"/>
  <c r="F41" i="18" s="1"/>
  <c r="AH53" i="11"/>
  <c r="AV53" i="11" s="1"/>
  <c r="BH53" i="11" s="1"/>
  <c r="BU53" i="11" s="1"/>
  <c r="AS53" i="11"/>
  <c r="U57" i="11"/>
  <c r="AG57" i="11" s="1"/>
  <c r="AJ57" i="11" s="1"/>
  <c r="AQ57" i="11" s="1"/>
  <c r="F59" i="18" s="1"/>
  <c r="CF58" i="11"/>
  <c r="AH62" i="11"/>
  <c r="AV62" i="11" s="1"/>
  <c r="BH62" i="11" s="1"/>
  <c r="BH63" i="11"/>
  <c r="BU63" i="11" s="1"/>
  <c r="CG63" i="11" s="1"/>
  <c r="T67" i="11"/>
  <c r="AF67" i="11" s="1"/>
  <c r="AT67" i="11" s="1"/>
  <c r="BF67" i="11" s="1"/>
  <c r="BS67" i="11" s="1"/>
  <c r="AS69" i="11"/>
  <c r="AH69" i="11"/>
  <c r="AV69" i="11" s="1"/>
  <c r="BH69" i="11" s="1"/>
  <c r="BU69" i="11" s="1"/>
  <c r="BA76" i="11"/>
  <c r="AH23" i="11"/>
  <c r="V27" i="11"/>
  <c r="U40" i="11"/>
  <c r="AG40" i="11" s="1"/>
  <c r="AU40" i="11" s="1"/>
  <c r="BG40" i="11" s="1"/>
  <c r="BT40" i="11" s="1"/>
  <c r="CC40" i="11" s="1"/>
  <c r="BG44" i="11"/>
  <c r="BT44" i="11" s="1"/>
  <c r="CF44" i="11" s="1"/>
  <c r="T63" i="11"/>
  <c r="AF63" i="11" s="1"/>
  <c r="AI63" i="11" s="1"/>
  <c r="AP63" i="11" s="1"/>
  <c r="AS65" i="11"/>
  <c r="AH65" i="11"/>
  <c r="AV65" i="11" s="1"/>
  <c r="AS72" i="11"/>
  <c r="AH9" i="11"/>
  <c r="AV9" i="11" s="1"/>
  <c r="BH9" i="11" s="1"/>
  <c r="BU9" i="11" s="1"/>
  <c r="BG30" i="11"/>
  <c r="BT30" i="11" s="1"/>
  <c r="CF30" i="11" s="1"/>
  <c r="T38" i="11"/>
  <c r="AF38" i="11" s="1"/>
  <c r="AT38" i="11" s="1"/>
  <c r="AH67" i="11"/>
  <c r="AK67" i="11" s="1"/>
  <c r="AI7" i="11"/>
  <c r="U10" i="11"/>
  <c r="AG10" i="11" s="1"/>
  <c r="AU10" i="11" s="1"/>
  <c r="BG10" i="11" s="1"/>
  <c r="BT10" i="11" s="1"/>
  <c r="CC10" i="11" s="1"/>
  <c r="CF10" i="11" s="1"/>
  <c r="AF12" i="11"/>
  <c r="AT12" i="11" s="1"/>
  <c r="BF12" i="11" s="1"/>
  <c r="BS12" i="11" s="1"/>
  <c r="CE12" i="11" s="1"/>
  <c r="AK5" i="11"/>
  <c r="AG7" i="11"/>
  <c r="AU7" i="11" s="1"/>
  <c r="BG7" i="11" s="1"/>
  <c r="BT7" i="11" s="1"/>
  <c r="BI12" i="11"/>
  <c r="BP12" i="11" s="1"/>
  <c r="V12" i="11"/>
  <c r="AJ15" i="11"/>
  <c r="AQ15" i="11" s="1"/>
  <c r="F17" i="18" s="1"/>
  <c r="AJ17" i="11"/>
  <c r="AQ17" i="11" s="1"/>
  <c r="F19" i="18" s="1"/>
  <c r="BG18" i="11"/>
  <c r="BT18" i="11" s="1"/>
  <c r="BG20" i="11"/>
  <c r="BT20" i="11" s="1"/>
  <c r="CF20" i="11" s="1"/>
  <c r="AS21" i="11"/>
  <c r="AH21" i="11"/>
  <c r="AV21" i="11" s="1"/>
  <c r="AG22" i="11"/>
  <c r="AU22" i="11" s="1"/>
  <c r="BG22" i="11" s="1"/>
  <c r="BT22" i="11" s="1"/>
  <c r="T23" i="11"/>
  <c r="AF23" i="11" s="1"/>
  <c r="AT23" i="11" s="1"/>
  <c r="BF23" i="11" s="1"/>
  <c r="BS23" i="11" s="1"/>
  <c r="CE23" i="11" s="1"/>
  <c r="BG26" i="11"/>
  <c r="BT26" i="11" s="1"/>
  <c r="CF26" i="11" s="1"/>
  <c r="AS28" i="11"/>
  <c r="AH28" i="11"/>
  <c r="AH32" i="11"/>
  <c r="AV32" i="11" s="1"/>
  <c r="BH32" i="11" s="1"/>
  <c r="BU32" i="11" s="1"/>
  <c r="AS32" i="11"/>
  <c r="BF33" i="11"/>
  <c r="BS33" i="11" s="1"/>
  <c r="CB33" i="11" s="1"/>
  <c r="AH48" i="11"/>
  <c r="AV48" i="11" s="1"/>
  <c r="BH48" i="11" s="1"/>
  <c r="BU48" i="11" s="1"/>
  <c r="BF53" i="11"/>
  <c r="BS53" i="11" s="1"/>
  <c r="CB53" i="11" s="1"/>
  <c r="V54" i="11"/>
  <c r="AG59" i="11"/>
  <c r="AU59" i="11" s="1"/>
  <c r="BG59" i="11" s="1"/>
  <c r="BT59" i="11" s="1"/>
  <c r="T60" i="11"/>
  <c r="AF60" i="11" s="1"/>
  <c r="AI60" i="11" s="1"/>
  <c r="AP60" i="11" s="1"/>
  <c r="BF65" i="11"/>
  <c r="BS65" i="11" s="1"/>
  <c r="AI28" i="11"/>
  <c r="T59" i="11"/>
  <c r="AF59" i="11" s="1"/>
  <c r="AT59" i="11" s="1"/>
  <c r="BF59" i="11" s="1"/>
  <c r="BS59" i="11" s="1"/>
  <c r="CB59" i="11" s="1"/>
  <c r="CE59" i="11" s="1"/>
  <c r="AI66" i="11"/>
  <c r="V66" i="11"/>
  <c r="AS74" i="11"/>
  <c r="AH74" i="11"/>
  <c r="AV74" i="11" s="1"/>
  <c r="BH74" i="11" s="1"/>
  <c r="BU74" i="11" s="1"/>
  <c r="AF25" i="11"/>
  <c r="AT25" i="11" s="1"/>
  <c r="BF25" i="11" s="1"/>
  <c r="BS25" i="11" s="1"/>
  <c r="CE25" i="11" s="1"/>
  <c r="AI27" i="11"/>
  <c r="AI29" i="11"/>
  <c r="AJ30" i="11"/>
  <c r="AF36" i="11"/>
  <c r="AT36" i="11" s="1"/>
  <c r="BF36" i="11" s="1"/>
  <c r="BS36" i="11" s="1"/>
  <c r="CB36" i="11" s="1"/>
  <c r="AJ47" i="11"/>
  <c r="AQ47" i="11" s="1"/>
  <c r="F49" i="18" s="1"/>
  <c r="AF49" i="11"/>
  <c r="AT49" i="11" s="1"/>
  <c r="BF49" i="11" s="1"/>
  <c r="BS49" i="11" s="1"/>
  <c r="AF51" i="11"/>
  <c r="AT51" i="11" s="1"/>
  <c r="BF51" i="11" s="1"/>
  <c r="BS51" i="11" s="1"/>
  <c r="CE51" i="11" s="1"/>
  <c r="AJ55" i="11"/>
  <c r="AJ56" i="11"/>
  <c r="AI68" i="11"/>
  <c r="AP68" i="11" s="1"/>
  <c r="V25" i="11"/>
  <c r="AJ26" i="11"/>
  <c r="V36" i="11"/>
  <c r="V49" i="11"/>
  <c r="AJ50" i="11"/>
  <c r="V51" i="11"/>
  <c r="AJ52" i="11"/>
  <c r="AQ52" i="11" s="1"/>
  <c r="F54" i="18" s="1"/>
  <c r="U61" i="11"/>
  <c r="AG61" i="11" s="1"/>
  <c r="AU61" i="11" s="1"/>
  <c r="BG61" i="11" s="1"/>
  <c r="BT61" i="11" s="1"/>
  <c r="AK65" i="11"/>
  <c r="AI72" i="11"/>
  <c r="AP72" i="11" s="1"/>
  <c r="BG73" i="11"/>
  <c r="BT73" i="11" s="1"/>
  <c r="CC18" i="11"/>
  <c r="CF18" i="11" s="1"/>
  <c r="AT5" i="11"/>
  <c r="BF5" i="11" s="1"/>
  <c r="BS5" i="11" s="1"/>
  <c r="CE5" i="11" s="1"/>
  <c r="AJ6" i="11"/>
  <c r="CG9" i="11"/>
  <c r="AS13" i="11"/>
  <c r="AH13" i="11"/>
  <c r="AV13" i="11" s="1"/>
  <c r="AS15" i="11"/>
  <c r="AH15" i="11"/>
  <c r="AV15" i="11" s="1"/>
  <c r="BH15" i="11" s="1"/>
  <c r="BU15" i="11" s="1"/>
  <c r="AS17" i="11"/>
  <c r="AH17" i="11"/>
  <c r="AV17" i="11" s="1"/>
  <c r="AS10" i="11"/>
  <c r="AH10" i="11"/>
  <c r="AV10" i="11" s="1"/>
  <c r="BH10" i="11" s="1"/>
  <c r="BU10" i="11" s="1"/>
  <c r="CC15" i="11"/>
  <c r="CF15" i="11" s="1"/>
  <c r="CC16" i="11"/>
  <c r="CF16" i="11"/>
  <c r="CB18" i="11"/>
  <c r="CE18" i="11" s="1"/>
  <c r="BF4" i="11"/>
  <c r="BW4" i="11"/>
  <c r="BW76" i="11" s="1"/>
  <c r="BJ8" i="11"/>
  <c r="BQ8" i="11" s="1"/>
  <c r="AU6" i="11"/>
  <c r="BG6" i="11" s="1"/>
  <c r="BT6" i="11" s="1"/>
  <c r="CF6" i="11" s="1"/>
  <c r="AP7" i="11"/>
  <c r="CE7" i="11"/>
  <c r="CB16" i="11"/>
  <c r="CE16" i="11" s="1"/>
  <c r="CD18" i="11"/>
  <c r="CG18" i="11" s="1"/>
  <c r="CC22" i="11"/>
  <c r="CF22" i="11" s="1"/>
  <c r="CD29" i="11"/>
  <c r="CG29" i="11" s="1"/>
  <c r="AS7" i="11"/>
  <c r="AI14" i="11"/>
  <c r="AK17" i="11"/>
  <c r="BH21" i="11"/>
  <c r="BU21" i="11" s="1"/>
  <c r="CG21" i="11" s="1"/>
  <c r="U24" i="11"/>
  <c r="AG24" i="11" s="1"/>
  <c r="AU24" i="11" s="1"/>
  <c r="BG24" i="11" s="1"/>
  <c r="BT24" i="11" s="1"/>
  <c r="CF24" i="11" s="1"/>
  <c r="CB29" i="11"/>
  <c r="CE29" i="11" s="1"/>
  <c r="U32" i="11"/>
  <c r="AG32" i="11" s="1"/>
  <c r="AU32" i="11" s="1"/>
  <c r="BG32" i="11" s="1"/>
  <c r="BT32" i="11" s="1"/>
  <c r="CF32" i="11" s="1"/>
  <c r="V34" i="11"/>
  <c r="AS35" i="11"/>
  <c r="AH35" i="11"/>
  <c r="CB41" i="11"/>
  <c r="CE41" i="11" s="1"/>
  <c r="CD53" i="11"/>
  <c r="CG53" i="11" s="1"/>
  <c r="S76" i="11"/>
  <c r="W76" i="11"/>
  <c r="U5" i="11"/>
  <c r="AG5" i="11" s="1"/>
  <c r="AU5" i="11" s="1"/>
  <c r="BG5" i="11" s="1"/>
  <c r="BT5" i="11" s="1"/>
  <c r="CF5" i="11" s="1"/>
  <c r="AV5" i="11"/>
  <c r="BH5" i="11" s="1"/>
  <c r="BU5" i="11" s="1"/>
  <c r="CG5" i="11" s="1"/>
  <c r="V6" i="11"/>
  <c r="AK7" i="11"/>
  <c r="BB76" i="11"/>
  <c r="BI7" i="11"/>
  <c r="BP7" i="11" s="1"/>
  <c r="V8" i="11"/>
  <c r="AJ8" i="11"/>
  <c r="U9" i="11"/>
  <c r="AG9" i="11" s="1"/>
  <c r="AI9" i="11"/>
  <c r="BK9" i="11"/>
  <c r="BR9" i="11" s="1"/>
  <c r="T10" i="11"/>
  <c r="AF10" i="11" s="1"/>
  <c r="V11" i="11"/>
  <c r="U12" i="11"/>
  <c r="AG12" i="11" s="1"/>
  <c r="AI12" i="11"/>
  <c r="T13" i="11"/>
  <c r="AF13" i="11" s="1"/>
  <c r="V14" i="11"/>
  <c r="AJ14" i="11"/>
  <c r="T15" i="11"/>
  <c r="AF15" i="11" s="1"/>
  <c r="AI15" i="11" s="1"/>
  <c r="V16" i="11"/>
  <c r="AJ16" i="11"/>
  <c r="T17" i="11"/>
  <c r="AF17" i="11" s="1"/>
  <c r="AI17" i="11" s="1"/>
  <c r="BJ17" i="11"/>
  <c r="BQ17" i="11" s="1"/>
  <c r="BK18" i="11"/>
  <c r="BR18" i="11" s="1"/>
  <c r="AK18" i="11"/>
  <c r="AJ18" i="11"/>
  <c r="AG19" i="11"/>
  <c r="AH19" i="11"/>
  <c r="AV19" i="11" s="1"/>
  <c r="BH19" i="11" s="1"/>
  <c r="BU19" i="11" s="1"/>
  <c r="CG19" i="11" s="1"/>
  <c r="AS20" i="11"/>
  <c r="AH20" i="11"/>
  <c r="AI21" i="11"/>
  <c r="T22" i="11"/>
  <c r="AF22" i="11" s="1"/>
  <c r="AK23" i="11"/>
  <c r="AK24" i="11"/>
  <c r="AS24" i="11"/>
  <c r="BK24" i="11"/>
  <c r="BR24" i="11" s="1"/>
  <c r="BI25" i="11"/>
  <c r="BP25" i="11" s="1"/>
  <c r="V26" i="11"/>
  <c r="AP28" i="11"/>
  <c r="BI28" i="11"/>
  <c r="BP28" i="11" s="1"/>
  <c r="U29" i="11"/>
  <c r="AG29" i="11" s="1"/>
  <c r="AU29" i="11" s="1"/>
  <c r="BG29" i="11" s="1"/>
  <c r="BT29" i="11" s="1"/>
  <c r="BG31" i="11"/>
  <c r="BT31" i="11" s="1"/>
  <c r="BI33" i="11"/>
  <c r="BP33" i="11" s="1"/>
  <c r="AV33" i="11"/>
  <c r="BH33" i="11" s="1"/>
  <c r="BU33" i="11" s="1"/>
  <c r="AU34" i="11"/>
  <c r="BG34" i="11" s="1"/>
  <c r="BT34" i="11" s="1"/>
  <c r="U35" i="11"/>
  <c r="AG35" i="11" s="1"/>
  <c r="AU35" i="11" s="1"/>
  <c r="BG35" i="11" s="1"/>
  <c r="BT35" i="11" s="1"/>
  <c r="CF35" i="11" s="1"/>
  <c r="U46" i="11"/>
  <c r="AG46" i="11" s="1"/>
  <c r="AU46" i="11" s="1"/>
  <c r="BG46" i="11" s="1"/>
  <c r="BT46" i="11" s="1"/>
  <c r="AQ50" i="11"/>
  <c r="F52" i="18" s="1"/>
  <c r="AI8" i="11"/>
  <c r="AI16" i="11"/>
  <c r="V31" i="11"/>
  <c r="AH41" i="11"/>
  <c r="AV41" i="11" s="1"/>
  <c r="BH41" i="11" s="1"/>
  <c r="BU41" i="11" s="1"/>
  <c r="AS41" i="11"/>
  <c r="X76" i="11"/>
  <c r="AH4" i="11"/>
  <c r="BJ7" i="11"/>
  <c r="BQ7" i="11" s="1"/>
  <c r="BZ7" i="11"/>
  <c r="CF7" i="11" s="1"/>
  <c r="BI8" i="11"/>
  <c r="BP8" i="11" s="1"/>
  <c r="BI16" i="11"/>
  <c r="BP16" i="11" s="1"/>
  <c r="U21" i="11"/>
  <c r="AG21" i="11" s="1"/>
  <c r="AU21" i="11" s="1"/>
  <c r="BG21" i="11" s="1"/>
  <c r="BT21" i="11" s="1"/>
  <c r="CF21" i="11" s="1"/>
  <c r="BJ22" i="11"/>
  <c r="BQ22" i="11" s="1"/>
  <c r="AP27" i="11"/>
  <c r="AT27" i="11"/>
  <c r="BF27" i="11" s="1"/>
  <c r="BS27" i="11" s="1"/>
  <c r="CE27" i="11" s="1"/>
  <c r="AK28" i="11"/>
  <c r="BK29" i="11"/>
  <c r="BR29" i="11" s="1"/>
  <c r="AS29" i="11"/>
  <c r="T39" i="11"/>
  <c r="AF39" i="11" s="1"/>
  <c r="AT39" i="11" s="1"/>
  <c r="BF39" i="11" s="1"/>
  <c r="BS39" i="11" s="1"/>
  <c r="CE39" i="11" s="1"/>
  <c r="AS4" i="11"/>
  <c r="AJ7" i="11"/>
  <c r="AI11" i="11"/>
  <c r="BJ18" i="11"/>
  <c r="BQ18" i="11" s="1"/>
  <c r="AJ20" i="11"/>
  <c r="AQ26" i="11"/>
  <c r="F28" i="18" s="1"/>
  <c r="AV28" i="11"/>
  <c r="BH28" i="11" s="1"/>
  <c r="BU28" i="11" s="1"/>
  <c r="CG28" i="11" s="1"/>
  <c r="AP29" i="11"/>
  <c r="AJ32" i="11"/>
  <c r="AI41" i="11"/>
  <c r="AQ56" i="11"/>
  <c r="F58" i="18" s="1"/>
  <c r="BI4" i="11"/>
  <c r="BY76" i="11"/>
  <c r="Q76" i="11"/>
  <c r="U4" i="11"/>
  <c r="Y76" i="11"/>
  <c r="AI4" i="11"/>
  <c r="BV4" i="11"/>
  <c r="T6" i="11"/>
  <c r="AF6" i="11" s="1"/>
  <c r="AT6" i="11" s="1"/>
  <c r="BF6" i="11" s="1"/>
  <c r="BS6" i="11" s="1"/>
  <c r="CE6" i="11" s="1"/>
  <c r="AZ76" i="11"/>
  <c r="CA7" i="11"/>
  <c r="AI18" i="11"/>
  <c r="BI18" i="11"/>
  <c r="BP18" i="11" s="1"/>
  <c r="AI20" i="11"/>
  <c r="AV23" i="11"/>
  <c r="BH23" i="11" s="1"/>
  <c r="BU23" i="11" s="1"/>
  <c r="CG23" i="11" s="1"/>
  <c r="CG24" i="11"/>
  <c r="U27" i="11"/>
  <c r="AG27" i="11" s="1"/>
  <c r="AU27" i="11" s="1"/>
  <c r="BG27" i="11" s="1"/>
  <c r="BT27" i="11" s="1"/>
  <c r="CF27" i="11" s="1"/>
  <c r="CE28" i="11"/>
  <c r="T30" i="11"/>
  <c r="AF30" i="11" s="1"/>
  <c r="AQ30" i="11"/>
  <c r="F32" i="18" s="1"/>
  <c r="CG32" i="11"/>
  <c r="AK33" i="11"/>
  <c r="V37" i="11"/>
  <c r="CD38" i="11"/>
  <c r="CG38" i="11" s="1"/>
  <c r="AI19" i="11"/>
  <c r="BJ20" i="11"/>
  <c r="BQ20" i="11" s="1"/>
  <c r="AK21" i="11"/>
  <c r="BI21" i="11"/>
  <c r="BP21" i="11" s="1"/>
  <c r="V22" i="11"/>
  <c r="AJ22" i="11"/>
  <c r="U23" i="11"/>
  <c r="AG23" i="11" s="1"/>
  <c r="AU23" i="11" s="1"/>
  <c r="BG23" i="11" s="1"/>
  <c r="BT23" i="11" s="1"/>
  <c r="CF23" i="11" s="1"/>
  <c r="U25" i="11"/>
  <c r="AG25" i="11" s="1"/>
  <c r="AI25" i="11"/>
  <c r="T26" i="11"/>
  <c r="AF26" i="11" s="1"/>
  <c r="BJ26" i="11"/>
  <c r="BQ26" i="11" s="1"/>
  <c r="U28" i="11"/>
  <c r="AG28" i="11" s="1"/>
  <c r="AU28" i="11" s="1"/>
  <c r="BG28" i="11" s="1"/>
  <c r="BT28" i="11" s="1"/>
  <c r="CF28" i="11" s="1"/>
  <c r="AK29" i="11"/>
  <c r="BI29" i="11"/>
  <c r="BP29" i="11" s="1"/>
  <c r="V30" i="11"/>
  <c r="T31" i="11"/>
  <c r="AF31" i="11" s="1"/>
  <c r="AI31" i="11" s="1"/>
  <c r="U33" i="11"/>
  <c r="AG33" i="11" s="1"/>
  <c r="AJ33" i="11" s="1"/>
  <c r="AI33" i="11"/>
  <c r="T34" i="11"/>
  <c r="AF34" i="11" s="1"/>
  <c r="AK35" i="11"/>
  <c r="BG37" i="11"/>
  <c r="BT37" i="11" s="1"/>
  <c r="CF37" i="11" s="1"/>
  <c r="BF38" i="11"/>
  <c r="BS38" i="11" s="1"/>
  <c r="V40" i="11"/>
  <c r="U41" i="11"/>
  <c r="AG41" i="11" s="1"/>
  <c r="AU41" i="11" s="1"/>
  <c r="BG41" i="11" s="1"/>
  <c r="BT41" i="11" s="1"/>
  <c r="CB48" i="11"/>
  <c r="CE48" i="11" s="1"/>
  <c r="U38" i="11"/>
  <c r="AG38" i="11" s="1"/>
  <c r="AU38" i="11" s="1"/>
  <c r="BG38" i="11" s="1"/>
  <c r="BT38" i="11" s="1"/>
  <c r="CF40" i="11"/>
  <c r="BK41" i="11"/>
  <c r="BR41" i="11" s="1"/>
  <c r="T42" i="11"/>
  <c r="AF42" i="11" s="1"/>
  <c r="AT42" i="11" s="1"/>
  <c r="BF42" i="11" s="1"/>
  <c r="BS42" i="11" s="1"/>
  <c r="CE42" i="11" s="1"/>
  <c r="V43" i="11"/>
  <c r="T44" i="11"/>
  <c r="AF44" i="11" s="1"/>
  <c r="AT44" i="11" s="1"/>
  <c r="BF44" i="11" s="1"/>
  <c r="BS44" i="11" s="1"/>
  <c r="CE44" i="11" s="1"/>
  <c r="CD48" i="11"/>
  <c r="CG48" i="11" s="1"/>
  <c r="BK53" i="11"/>
  <c r="BR53" i="11" s="1"/>
  <c r="AQ55" i="11"/>
  <c r="F57" i="18" s="1"/>
  <c r="V57" i="11"/>
  <c r="AI35" i="11"/>
  <c r="AJ37" i="11"/>
  <c r="BK38" i="11"/>
  <c r="BR38" i="11" s="1"/>
  <c r="AS38" i="11"/>
  <c r="AJ42" i="11"/>
  <c r="BJ44" i="11"/>
  <c r="BQ44" i="11" s="1"/>
  <c r="AS46" i="11"/>
  <c r="AH46" i="11"/>
  <c r="U48" i="11"/>
  <c r="AG48" i="11" s="1"/>
  <c r="AU48" i="11" s="1"/>
  <c r="BG48" i="11" s="1"/>
  <c r="BT48" i="11" s="1"/>
  <c r="CE49" i="11"/>
  <c r="U36" i="11"/>
  <c r="AG36" i="11" s="1"/>
  <c r="AJ36" i="11" s="1"/>
  <c r="T37" i="11"/>
  <c r="AF37" i="11" s="1"/>
  <c r="AK38" i="11"/>
  <c r="V39" i="11"/>
  <c r="T40" i="11"/>
  <c r="AF40" i="11" s="1"/>
  <c r="AK41" i="11"/>
  <c r="BI41" i="11"/>
  <c r="BP41" i="11" s="1"/>
  <c r="V42" i="11"/>
  <c r="T43" i="11"/>
  <c r="AF43" i="11" s="1"/>
  <c r="AT43" i="11" s="1"/>
  <c r="BF43" i="11" s="1"/>
  <c r="BS43" i="11" s="1"/>
  <c r="CE43" i="11" s="1"/>
  <c r="V44" i="11"/>
  <c r="AJ44" i="11"/>
  <c r="U45" i="11"/>
  <c r="AG45" i="11" s="1"/>
  <c r="AI45" i="11"/>
  <c r="AS47" i="11"/>
  <c r="AH47" i="11"/>
  <c r="BK48" i="11"/>
  <c r="BR48" i="11" s="1"/>
  <c r="BI49" i="11"/>
  <c r="BP49" i="11" s="1"/>
  <c r="V50" i="11"/>
  <c r="BI51" i="11"/>
  <c r="BP51" i="11" s="1"/>
  <c r="V52" i="11"/>
  <c r="V55" i="11"/>
  <c r="AU57" i="11"/>
  <c r="BG57" i="11" s="1"/>
  <c r="BT57" i="11" s="1"/>
  <c r="CF57" i="11" s="1"/>
  <c r="T58" i="11"/>
  <c r="AF58" i="11" s="1"/>
  <c r="CC61" i="11"/>
  <c r="CF61" i="11" s="1"/>
  <c r="U43" i="11"/>
  <c r="AG43" i="11" s="1"/>
  <c r="AU43" i="11" s="1"/>
  <c r="BG43" i="11" s="1"/>
  <c r="BT43" i="11" s="1"/>
  <c r="CF43" i="11" s="1"/>
  <c r="V45" i="11"/>
  <c r="BJ50" i="11"/>
  <c r="BQ50" i="11" s="1"/>
  <c r="AU50" i="11"/>
  <c r="BG50" i="11" s="1"/>
  <c r="BT50" i="11" s="1"/>
  <c r="BJ58" i="11"/>
  <c r="BQ58" i="11" s="1"/>
  <c r="AH60" i="11"/>
  <c r="AV60" i="11" s="1"/>
  <c r="BH60" i="11" s="1"/>
  <c r="BU60" i="11" s="1"/>
  <c r="CG60" i="11" s="1"/>
  <c r="AS60" i="11"/>
  <c r="AT60" i="11"/>
  <c r="BF60" i="11" s="1"/>
  <c r="BS60" i="11" s="1"/>
  <c r="CE60" i="11" s="1"/>
  <c r="AI46" i="11"/>
  <c r="AI47" i="11"/>
  <c r="AI48" i="11"/>
  <c r="U53" i="11"/>
  <c r="AG53" i="11" s="1"/>
  <c r="AU53" i="11" s="1"/>
  <c r="BG53" i="11" s="1"/>
  <c r="BT53" i="11" s="1"/>
  <c r="BJ53" i="11"/>
  <c r="BQ53" i="11" s="1"/>
  <c r="AJ53" i="11"/>
  <c r="T56" i="11"/>
  <c r="AF56" i="11" s="1"/>
  <c r="AT56" i="11" s="1"/>
  <c r="BF56" i="11" s="1"/>
  <c r="BS56" i="11" s="1"/>
  <c r="CE56" i="11" s="1"/>
  <c r="U63" i="11"/>
  <c r="AG63" i="11" s="1"/>
  <c r="AU63" i="11" s="1"/>
  <c r="BG63" i="11" s="1"/>
  <c r="BT63" i="11" s="1"/>
  <c r="CF63" i="11" s="1"/>
  <c r="AK48" i="11"/>
  <c r="BI48" i="11"/>
  <c r="BP48" i="11" s="1"/>
  <c r="U49" i="11"/>
  <c r="AG49" i="11" s="1"/>
  <c r="AI49" i="11"/>
  <c r="T50" i="11"/>
  <c r="AF50" i="11" s="1"/>
  <c r="AT50" i="11" s="1"/>
  <c r="BF50" i="11" s="1"/>
  <c r="BS50" i="11" s="1"/>
  <c r="U51" i="11"/>
  <c r="AG51" i="11" s="1"/>
  <c r="AJ51" i="11" s="1"/>
  <c r="AI51" i="11"/>
  <c r="T52" i="11"/>
  <c r="AF52" i="11" s="1"/>
  <c r="AI52" i="11" s="1"/>
  <c r="BJ52" i="11"/>
  <c r="BQ52" i="11" s="1"/>
  <c r="AK53" i="11"/>
  <c r="U54" i="11"/>
  <c r="AG54" i="11" s="1"/>
  <c r="AJ54" i="11" s="1"/>
  <c r="AI54" i="11"/>
  <c r="T55" i="11"/>
  <c r="AF55" i="11" s="1"/>
  <c r="V56" i="11"/>
  <c r="T57" i="11"/>
  <c r="AF57" i="11" s="1"/>
  <c r="AT57" i="11" s="1"/>
  <c r="BF57" i="11" s="1"/>
  <c r="BS57" i="11" s="1"/>
  <c r="CE57" i="11" s="1"/>
  <c r="V58" i="11"/>
  <c r="AJ58" i="11"/>
  <c r="AJ59" i="11"/>
  <c r="U60" i="11"/>
  <c r="AG60" i="11" s="1"/>
  <c r="AU60" i="11" s="1"/>
  <c r="BG60" i="11" s="1"/>
  <c r="BT60" i="11" s="1"/>
  <c r="CF60" i="11" s="1"/>
  <c r="BK63" i="11"/>
  <c r="BR63" i="11" s="1"/>
  <c r="AS63" i="11"/>
  <c r="V59" i="11"/>
  <c r="T61" i="11"/>
  <c r="AF61" i="11" s="1"/>
  <c r="AT61" i="11" s="1"/>
  <c r="BF61" i="11" s="1"/>
  <c r="BS61" i="11" s="1"/>
  <c r="AH61" i="11"/>
  <c r="AG62" i="11"/>
  <c r="AJ62" i="11" s="1"/>
  <c r="AT63" i="11"/>
  <c r="BF63" i="11" s="1"/>
  <c r="BS63" i="11" s="1"/>
  <c r="CE63" i="11" s="1"/>
  <c r="BF64" i="11"/>
  <c r="BS64" i="11" s="1"/>
  <c r="CB65" i="11"/>
  <c r="CE65" i="11" s="1"/>
  <c r="AH68" i="11"/>
  <c r="AV68" i="11" s="1"/>
  <c r="BH68" i="11" s="1"/>
  <c r="BU68" i="11" s="1"/>
  <c r="AS68" i="11"/>
  <c r="CB69" i="11"/>
  <c r="CE69" i="11" s="1"/>
  <c r="AJ61" i="11"/>
  <c r="AS61" i="11"/>
  <c r="AI62" i="11"/>
  <c r="AK63" i="11"/>
  <c r="U68" i="11"/>
  <c r="AG68" i="11" s="1"/>
  <c r="AU68" i="11" s="1"/>
  <c r="BG68" i="11" s="1"/>
  <c r="BT68" i="11" s="1"/>
  <c r="U72" i="11"/>
  <c r="AG72" i="11" s="1"/>
  <c r="AU72" i="11" s="1"/>
  <c r="BG72" i="11" s="1"/>
  <c r="BT72" i="11" s="1"/>
  <c r="CF72" i="11" s="1"/>
  <c r="T73" i="11"/>
  <c r="AF73" i="11" s="1"/>
  <c r="AT73" i="11" s="1"/>
  <c r="BF73" i="11" s="1"/>
  <c r="BS73" i="11" s="1"/>
  <c r="CE73" i="11" s="1"/>
  <c r="AI64" i="11"/>
  <c r="AS64" i="11"/>
  <c r="AP66" i="11"/>
  <c r="AT66" i="11"/>
  <c r="BF66" i="11" s="1"/>
  <c r="BS66" i="11" s="1"/>
  <c r="CE66" i="11" s="1"/>
  <c r="CF73" i="11"/>
  <c r="AG64" i="11"/>
  <c r="BI65" i="11"/>
  <c r="BP65" i="11" s="1"/>
  <c r="U66" i="11"/>
  <c r="AG66" i="11" s="1"/>
  <c r="AU66" i="11" s="1"/>
  <c r="BG66" i="11" s="1"/>
  <c r="BT66" i="11" s="1"/>
  <c r="CF66" i="11" s="1"/>
  <c r="AJ66" i="11"/>
  <c r="CE67" i="11"/>
  <c r="BI69" i="11"/>
  <c r="BP69" i="11" s="1"/>
  <c r="CD69" i="11"/>
  <c r="CG69" i="11"/>
  <c r="BK75" i="11"/>
  <c r="BR75" i="11" s="1"/>
  <c r="AK64" i="11"/>
  <c r="U65" i="11"/>
  <c r="AG65" i="11" s="1"/>
  <c r="AI65" i="11"/>
  <c r="U67" i="11"/>
  <c r="AG67" i="11" s="1"/>
  <c r="AU67" i="11" s="1"/>
  <c r="BG67" i="11" s="1"/>
  <c r="BT67" i="11" s="1"/>
  <c r="CF67" i="11" s="1"/>
  <c r="U69" i="11"/>
  <c r="AG69" i="11" s="1"/>
  <c r="AJ69" i="11" s="1"/>
  <c r="AI69" i="11"/>
  <c r="BK69" i="11"/>
  <c r="BR69" i="11" s="1"/>
  <c r="AJ71" i="11"/>
  <c r="BK72" i="11"/>
  <c r="BR72" i="11" s="1"/>
  <c r="BJ73" i="11"/>
  <c r="BQ73" i="11" s="1"/>
  <c r="U70" i="11"/>
  <c r="AG70" i="11" s="1"/>
  <c r="AU70" i="11" s="1"/>
  <c r="BG70" i="11" s="1"/>
  <c r="BT70" i="11" s="1"/>
  <c r="CF70" i="11" s="1"/>
  <c r="V71" i="11"/>
  <c r="AK74" i="11"/>
  <c r="AK70" i="11"/>
  <c r="BG71" i="11"/>
  <c r="BT71" i="11" s="1"/>
  <c r="CF71" i="11" s="1"/>
  <c r="BF72" i="11"/>
  <c r="BS72" i="11" s="1"/>
  <c r="CE72" i="11" s="1"/>
  <c r="U75" i="11"/>
  <c r="AG75" i="11" s="1"/>
  <c r="AS75" i="11"/>
  <c r="AI70" i="11"/>
  <c r="T71" i="11"/>
  <c r="AF71" i="11" s="1"/>
  <c r="AK72" i="11"/>
  <c r="V73" i="11"/>
  <c r="AJ73" i="11"/>
  <c r="U74" i="11"/>
  <c r="AG74" i="11" s="1"/>
  <c r="AJ74" i="11" s="1"/>
  <c r="AI74" i="11"/>
  <c r="BK74" i="11"/>
  <c r="BR74" i="11" s="1"/>
  <c r="AK75" i="11"/>
  <c r="CJ75" i="11" s="1"/>
  <c r="CQ75" i="11" s="1"/>
  <c r="T75" i="11"/>
  <c r="AF75" i="11" s="1"/>
  <c r="AT75" i="11" s="1"/>
  <c r="BF75" i="11" s="1"/>
  <c r="BS75" i="11" s="1"/>
  <c r="CE75" i="11" s="1"/>
  <c r="N31" i="12" l="1"/>
  <c r="Q31" i="12" s="1"/>
  <c r="R31" i="12" s="1"/>
  <c r="T31" i="12" s="1"/>
  <c r="B33" i="18"/>
  <c r="N60" i="12"/>
  <c r="Q60" i="12" s="1"/>
  <c r="R60" i="12" s="1"/>
  <c r="T60" i="12" s="1"/>
  <c r="B62" i="18"/>
  <c r="N69" i="12"/>
  <c r="Q69" i="12" s="1"/>
  <c r="R69" i="12" s="1"/>
  <c r="T69" i="12" s="1"/>
  <c r="B71" i="18"/>
  <c r="N19" i="12"/>
  <c r="Q19" i="12" s="1"/>
  <c r="R19" i="12" s="1"/>
  <c r="T19" i="12" s="1"/>
  <c r="B21" i="18"/>
  <c r="N42" i="12"/>
  <c r="Q42" i="12" s="1"/>
  <c r="R42" i="12" s="1"/>
  <c r="T42" i="12" s="1"/>
  <c r="B44" i="18"/>
  <c r="N17" i="12"/>
  <c r="Q17" i="12" s="1"/>
  <c r="R17" i="12" s="1"/>
  <c r="T17" i="12" s="1"/>
  <c r="B19" i="18"/>
  <c r="N33" i="12"/>
  <c r="Q33" i="12" s="1"/>
  <c r="R33" i="12" s="1"/>
  <c r="T33" i="12" s="1"/>
  <c r="B35" i="18"/>
  <c r="N41" i="12"/>
  <c r="Q41" i="12" s="1"/>
  <c r="R41" i="12" s="1"/>
  <c r="T41" i="12" s="1"/>
  <c r="B43" i="18"/>
  <c r="N46" i="12"/>
  <c r="Q46" i="12" s="1"/>
  <c r="R46" i="12" s="1"/>
  <c r="T46" i="12" s="1"/>
  <c r="W46" i="12" s="1"/>
  <c r="X46" i="12" s="1"/>
  <c r="B48" i="18"/>
  <c r="N27" i="12"/>
  <c r="Q27" i="12" s="1"/>
  <c r="R27" i="12" s="1"/>
  <c r="T27" i="12" s="1"/>
  <c r="B29" i="18"/>
  <c r="N57" i="12"/>
  <c r="Q57" i="12" s="1"/>
  <c r="R57" i="12" s="1"/>
  <c r="T57" i="12" s="1"/>
  <c r="B59" i="18"/>
  <c r="N18" i="12"/>
  <c r="Q18" i="12" s="1"/>
  <c r="R18" i="12" s="1"/>
  <c r="T18" i="12" s="1"/>
  <c r="B20" i="18"/>
  <c r="N28" i="12"/>
  <c r="B30" i="18"/>
  <c r="N9" i="12"/>
  <c r="Q9" i="12" s="1"/>
  <c r="R9" i="12" s="1"/>
  <c r="T9" i="12" s="1"/>
  <c r="B11" i="18"/>
  <c r="N20" i="12"/>
  <c r="B22" i="18"/>
  <c r="N8" i="12"/>
  <c r="Q8" i="12" s="1"/>
  <c r="R8" i="12" s="1"/>
  <c r="T8" i="12" s="1"/>
  <c r="B10" i="18"/>
  <c r="N54" i="12"/>
  <c r="Q54" i="12" s="1"/>
  <c r="R54" i="12" s="1"/>
  <c r="T54" i="12" s="1"/>
  <c r="B56" i="18"/>
  <c r="N75" i="12"/>
  <c r="Q75" i="12" s="1"/>
  <c r="R75" i="12" s="1"/>
  <c r="T75" i="12" s="1"/>
  <c r="B77" i="18"/>
  <c r="N67" i="12"/>
  <c r="Q67" i="12" s="1"/>
  <c r="R67" i="12" s="1"/>
  <c r="T67" i="12" s="1"/>
  <c r="B69" i="18"/>
  <c r="N52" i="12"/>
  <c r="Q52" i="12" s="1"/>
  <c r="R52" i="12" s="1"/>
  <c r="T52" i="12" s="1"/>
  <c r="B54" i="18"/>
  <c r="N61" i="12"/>
  <c r="Q61" i="12" s="1"/>
  <c r="R61" i="12" s="1"/>
  <c r="T61" i="12" s="1"/>
  <c r="B63" i="18"/>
  <c r="N11" i="12"/>
  <c r="Q11" i="12" s="1"/>
  <c r="R11" i="12" s="1"/>
  <c r="T11" i="12" s="1"/>
  <c r="B13" i="18"/>
  <c r="N26" i="12"/>
  <c r="Q26" i="12" s="1"/>
  <c r="R26" i="12" s="1"/>
  <c r="T26" i="12" s="1"/>
  <c r="B28" i="18"/>
  <c r="N15" i="12"/>
  <c r="Q15" i="12" s="1"/>
  <c r="R15" i="12" s="1"/>
  <c r="T15" i="12" s="1"/>
  <c r="B17" i="18"/>
  <c r="N74" i="12"/>
  <c r="Q74" i="12" s="1"/>
  <c r="R74" i="12" s="1"/>
  <c r="T74" i="12" s="1"/>
  <c r="W74" i="12" s="1"/>
  <c r="X74" i="12" s="1"/>
  <c r="B76" i="18"/>
  <c r="N50" i="12"/>
  <c r="Q50" i="12" s="1"/>
  <c r="R50" i="12" s="1"/>
  <c r="T50" i="12" s="1"/>
  <c r="W50" i="12" s="1"/>
  <c r="X50" i="12" s="1"/>
  <c r="B52" i="18"/>
  <c r="N59" i="12"/>
  <c r="B61" i="18"/>
  <c r="N55" i="12"/>
  <c r="Q55" i="12" s="1"/>
  <c r="R55" i="12" s="1"/>
  <c r="T55" i="12" s="1"/>
  <c r="B57" i="18"/>
  <c r="N49" i="12"/>
  <c r="Q49" i="12" s="1"/>
  <c r="R49" i="12" s="1"/>
  <c r="T49" i="12" s="1"/>
  <c r="B51" i="18"/>
  <c r="N48" i="12"/>
  <c r="Q48" i="12" s="1"/>
  <c r="R48" i="12" s="1"/>
  <c r="T48" i="12" s="1"/>
  <c r="B50" i="18"/>
  <c r="N10" i="12"/>
  <c r="Q10" i="12" s="1"/>
  <c r="R10" i="12" s="1"/>
  <c r="T10" i="12" s="1"/>
  <c r="B12" i="18"/>
  <c r="N53" i="12"/>
  <c r="Q53" i="12" s="1"/>
  <c r="R53" i="12" s="1"/>
  <c r="T53" i="12" s="1"/>
  <c r="B55" i="18"/>
  <c r="N72" i="12"/>
  <c r="Q72" i="12" s="1"/>
  <c r="R72" i="12" s="1"/>
  <c r="T72" i="12" s="1"/>
  <c r="B74" i="18"/>
  <c r="N14" i="12"/>
  <c r="Q14" i="12" s="1"/>
  <c r="R14" i="12" s="1"/>
  <c r="T14" i="12" s="1"/>
  <c r="B16" i="18"/>
  <c r="N70" i="12"/>
  <c r="Q70" i="12" s="1"/>
  <c r="R70" i="12" s="1"/>
  <c r="T70" i="12" s="1"/>
  <c r="W70" i="12" s="1"/>
  <c r="X70" i="12" s="1"/>
  <c r="B72" i="18"/>
  <c r="N51" i="12"/>
  <c r="Q51" i="12" s="1"/>
  <c r="R51" i="12" s="1"/>
  <c r="T51" i="12" s="1"/>
  <c r="B53" i="18"/>
  <c r="N47" i="12"/>
  <c r="B49" i="18"/>
  <c r="N44" i="12"/>
  <c r="Q44" i="12" s="1"/>
  <c r="R44" i="12" s="1"/>
  <c r="T44" i="12" s="1"/>
  <c r="B46" i="18"/>
  <c r="N37" i="12"/>
  <c r="Q37" i="12" s="1"/>
  <c r="R37" i="12" s="1"/>
  <c r="T37" i="12" s="1"/>
  <c r="B39" i="18"/>
  <c r="N7" i="12"/>
  <c r="Q7" i="12" s="1"/>
  <c r="R7" i="12" s="1"/>
  <c r="T7" i="12" s="1"/>
  <c r="B9" i="18"/>
  <c r="N36" i="12"/>
  <c r="B38" i="18"/>
  <c r="N64" i="12"/>
  <c r="Q64" i="12" s="1"/>
  <c r="R64" i="12" s="1"/>
  <c r="T64" i="12" s="1"/>
  <c r="B66" i="18"/>
  <c r="N12" i="12"/>
  <c r="Q12" i="12" s="1"/>
  <c r="R12" i="12" s="1"/>
  <c r="T12" i="12" s="1"/>
  <c r="B14" i="18"/>
  <c r="N16" i="12"/>
  <c r="Q16" i="12" s="1"/>
  <c r="R16" i="12" s="1"/>
  <c r="T16" i="12" s="1"/>
  <c r="B18" i="18"/>
  <c r="N58" i="12"/>
  <c r="Q58" i="12" s="1"/>
  <c r="R58" i="12" s="1"/>
  <c r="T58" i="12" s="1"/>
  <c r="W58" i="12" s="1"/>
  <c r="X58" i="12" s="1"/>
  <c r="B60" i="18"/>
  <c r="N43" i="12"/>
  <c r="Q43" i="12" s="1"/>
  <c r="R43" i="12" s="1"/>
  <c r="T43" i="12" s="1"/>
  <c r="B45" i="18"/>
  <c r="N73" i="12"/>
  <c r="Q73" i="12" s="1"/>
  <c r="R73" i="12" s="1"/>
  <c r="T73" i="12" s="1"/>
  <c r="B75" i="18"/>
  <c r="N22" i="12"/>
  <c r="Q22" i="12" s="1"/>
  <c r="R22" i="12" s="1"/>
  <c r="T22" i="12" s="1"/>
  <c r="B24" i="18"/>
  <c r="N32" i="12"/>
  <c r="B34" i="18"/>
  <c r="N6" i="12"/>
  <c r="Q6" i="12" s="1"/>
  <c r="R6" i="12" s="1"/>
  <c r="T6" i="12" s="1"/>
  <c r="B8" i="18"/>
  <c r="N34" i="12"/>
  <c r="Q34" i="12" s="1"/>
  <c r="R34" i="12" s="1"/>
  <c r="T34" i="12" s="1"/>
  <c r="B36" i="18"/>
  <c r="N45" i="12"/>
  <c r="Q45" i="12" s="1"/>
  <c r="R45" i="12" s="1"/>
  <c r="T45" i="12" s="1"/>
  <c r="B47" i="18"/>
  <c r="N13" i="12"/>
  <c r="Q13" i="12" s="1"/>
  <c r="B15" i="18"/>
  <c r="N62" i="12"/>
  <c r="B64" i="18"/>
  <c r="N39" i="12"/>
  <c r="Q39" i="12" s="1"/>
  <c r="R39" i="12" s="1"/>
  <c r="T39" i="12" s="1"/>
  <c r="B41" i="18"/>
  <c r="N68" i="12"/>
  <c r="Q68" i="12" s="1"/>
  <c r="R68" i="12" s="1"/>
  <c r="T68" i="12" s="1"/>
  <c r="B70" i="18"/>
  <c r="N71" i="12"/>
  <c r="B73" i="18"/>
  <c r="N30" i="12"/>
  <c r="Q30" i="12" s="1"/>
  <c r="R30" i="12" s="1"/>
  <c r="T30" i="12" s="1"/>
  <c r="B32" i="18"/>
  <c r="N5" i="12"/>
  <c r="Q5" i="12" s="1"/>
  <c r="R5" i="12" s="1"/>
  <c r="T5" i="12" s="1"/>
  <c r="B7" i="18"/>
  <c r="N29" i="12"/>
  <c r="Q29" i="12" s="1"/>
  <c r="R29" i="12" s="1"/>
  <c r="T29" i="12" s="1"/>
  <c r="B31" i="18"/>
  <c r="N40" i="12"/>
  <c r="B42" i="18"/>
  <c r="N25" i="12"/>
  <c r="Q25" i="12" s="1"/>
  <c r="R25" i="12" s="1"/>
  <c r="T25" i="12" s="1"/>
  <c r="B27" i="18"/>
  <c r="N35" i="12"/>
  <c r="Q35" i="12" s="1"/>
  <c r="R35" i="12" s="1"/>
  <c r="T35" i="12" s="1"/>
  <c r="B37" i="18"/>
  <c r="N65" i="12"/>
  <c r="Q65" i="12" s="1"/>
  <c r="R65" i="12" s="1"/>
  <c r="T65" i="12" s="1"/>
  <c r="B67" i="18"/>
  <c r="N63" i="12"/>
  <c r="Q63" i="12" s="1"/>
  <c r="R63" i="12" s="1"/>
  <c r="T63" i="12" s="1"/>
  <c r="B65" i="18"/>
  <c r="N24" i="12"/>
  <c r="Q24" i="12" s="1"/>
  <c r="R24" i="12" s="1"/>
  <c r="T24" i="12" s="1"/>
  <c r="B26" i="18"/>
  <c r="N56" i="12"/>
  <c r="Q56" i="12" s="1"/>
  <c r="R56" i="12" s="1"/>
  <c r="T56" i="12" s="1"/>
  <c r="B58" i="18"/>
  <c r="N23" i="12"/>
  <c r="Q23" i="12" s="1"/>
  <c r="R23" i="12" s="1"/>
  <c r="T23" i="12" s="1"/>
  <c r="B25" i="18"/>
  <c r="N38" i="12"/>
  <c r="Q38" i="12" s="1"/>
  <c r="R38" i="12" s="1"/>
  <c r="T38" i="12" s="1"/>
  <c r="B40" i="18"/>
  <c r="N21" i="12"/>
  <c r="Q21" i="12" s="1"/>
  <c r="R21" i="12" s="1"/>
  <c r="T21" i="12" s="1"/>
  <c r="B23" i="18"/>
  <c r="I78" i="18"/>
  <c r="H80" i="18" s="1"/>
  <c r="M21" i="13" s="1"/>
  <c r="G78" i="18"/>
  <c r="Q62" i="12"/>
  <c r="R62" i="12" s="1"/>
  <c r="T62" i="12" s="1"/>
  <c r="W62" i="12" s="1"/>
  <c r="X62" i="12" s="1"/>
  <c r="BS70" i="11"/>
  <c r="CE70" i="11" s="1"/>
  <c r="BI70" i="11"/>
  <c r="BP70" i="11" s="1"/>
  <c r="BS54" i="11"/>
  <c r="CE54" i="11" s="1"/>
  <c r="BI54" i="11"/>
  <c r="BP54" i="11" s="1"/>
  <c r="BH7" i="11"/>
  <c r="BF9" i="11"/>
  <c r="BF20" i="11"/>
  <c r="BI72" i="11"/>
  <c r="BP72" i="11" s="1"/>
  <c r="AT32" i="11"/>
  <c r="BF32" i="11" s="1"/>
  <c r="BS32" i="11" s="1"/>
  <c r="CE32" i="11" s="1"/>
  <c r="AY76" i="11"/>
  <c r="AK10" i="11"/>
  <c r="BJ15" i="11"/>
  <c r="BQ15" i="11" s="1"/>
  <c r="AJ11" i="11"/>
  <c r="BJ32" i="11"/>
  <c r="BQ32" i="11" s="1"/>
  <c r="AW76" i="11"/>
  <c r="CE33" i="11"/>
  <c r="BH13" i="11"/>
  <c r="BF68" i="11"/>
  <c r="BG55" i="11"/>
  <c r="BF47" i="11"/>
  <c r="AI73" i="11"/>
  <c r="BV76" i="11"/>
  <c r="AI53" i="11"/>
  <c r="AP53" i="11" s="1"/>
  <c r="BF45" i="11"/>
  <c r="BG42" i="11"/>
  <c r="BJ71" i="11"/>
  <c r="BQ71" i="11" s="1"/>
  <c r="BK19" i="11"/>
  <c r="BR19" i="11" s="1"/>
  <c r="BK21" i="11"/>
  <c r="BR21" i="11" s="1"/>
  <c r="BJ10" i="11"/>
  <c r="BQ10" i="11" s="1"/>
  <c r="BJ11" i="11"/>
  <c r="BQ11" i="11" s="1"/>
  <c r="AI24" i="11"/>
  <c r="AP24" i="11" s="1"/>
  <c r="BF46" i="11"/>
  <c r="BF11" i="11"/>
  <c r="BF74" i="11"/>
  <c r="AK68" i="11"/>
  <c r="BJ68" i="11"/>
  <c r="BQ68" i="11" s="1"/>
  <c r="CJ53" i="11"/>
  <c r="CQ53" i="11" s="1"/>
  <c r="BK10" i="11"/>
  <c r="BR10" i="11" s="1"/>
  <c r="BJ13" i="11"/>
  <c r="BQ13" i="11" s="1"/>
  <c r="BH17" i="11"/>
  <c r="AK69" i="11"/>
  <c r="BJ16" i="11"/>
  <c r="BQ16" i="11" s="1"/>
  <c r="BH65" i="11"/>
  <c r="BH70" i="11"/>
  <c r="BG47" i="11"/>
  <c r="BH64" i="11"/>
  <c r="CJ63" i="11"/>
  <c r="CQ63" i="11" s="1"/>
  <c r="BJ28" i="11"/>
  <c r="BQ28" i="11" s="1"/>
  <c r="AK19" i="11"/>
  <c r="AK13" i="11"/>
  <c r="AX76" i="11"/>
  <c r="AJ13" i="11"/>
  <c r="AQ13" i="11" s="1"/>
  <c r="F15" i="18" s="1"/>
  <c r="BF62" i="11"/>
  <c r="BF19" i="11"/>
  <c r="BF14" i="11"/>
  <c r="BG56" i="11"/>
  <c r="BF35" i="11"/>
  <c r="BJ21" i="11"/>
  <c r="BQ21" i="11" s="1"/>
  <c r="BK60" i="11"/>
  <c r="BR60" i="11" s="1"/>
  <c r="BI42" i="11"/>
  <c r="BP42" i="11" s="1"/>
  <c r="BI67" i="11"/>
  <c r="BP67" i="11" s="1"/>
  <c r="BK68" i="11"/>
  <c r="BR68" i="11" s="1"/>
  <c r="BJ72" i="11"/>
  <c r="BQ72" i="11" s="1"/>
  <c r="AJ21" i="11"/>
  <c r="AK60" i="11"/>
  <c r="AK9" i="11"/>
  <c r="AJ31" i="11"/>
  <c r="AQ31" i="11" s="1"/>
  <c r="F33" i="18" s="1"/>
  <c r="BJ66" i="11"/>
  <c r="BQ66" i="11" s="1"/>
  <c r="AJ67" i="11"/>
  <c r="W54" i="12"/>
  <c r="X54" i="12" s="1"/>
  <c r="Q28" i="12"/>
  <c r="R28" i="12" s="1"/>
  <c r="T28" i="12" s="1"/>
  <c r="W66" i="12"/>
  <c r="X66" i="12" s="1"/>
  <c r="Q32" i="12"/>
  <c r="R32" i="12" s="1"/>
  <c r="T32" i="12" s="1"/>
  <c r="Q47" i="12"/>
  <c r="R47" i="12" s="1"/>
  <c r="T47" i="12" s="1"/>
  <c r="K76" i="12"/>
  <c r="L4" i="12"/>
  <c r="B6" i="18" s="1"/>
  <c r="Q36" i="12"/>
  <c r="R36" i="12" s="1"/>
  <c r="T36" i="12" s="1"/>
  <c r="Q59" i="12"/>
  <c r="R59" i="12" s="1"/>
  <c r="T59" i="12" s="1"/>
  <c r="Q71" i="12"/>
  <c r="R71" i="12" s="1"/>
  <c r="T71" i="12" s="1"/>
  <c r="Q40" i="12"/>
  <c r="R40" i="12" s="1"/>
  <c r="T40" i="12" s="1"/>
  <c r="Q20" i="12"/>
  <c r="R20" i="12" s="1"/>
  <c r="T20" i="12" s="1"/>
  <c r="BU62" i="11"/>
  <c r="BK62" i="11"/>
  <c r="BR62" i="11" s="1"/>
  <c r="AI56" i="11"/>
  <c r="AP56" i="11" s="1"/>
  <c r="AS12" i="11"/>
  <c r="AH12" i="11"/>
  <c r="BJ67" i="11"/>
  <c r="BQ67" i="11" s="1"/>
  <c r="BI56" i="11"/>
  <c r="BP56" i="11" s="1"/>
  <c r="CE53" i="11"/>
  <c r="BJ31" i="11"/>
  <c r="BQ31" i="11" s="1"/>
  <c r="CJ21" i="11"/>
  <c r="CQ21" i="11" s="1"/>
  <c r="BI24" i="11"/>
  <c r="BP24" i="11" s="1"/>
  <c r="AI23" i="11"/>
  <c r="BJ29" i="11"/>
  <c r="BQ29" i="11" s="1"/>
  <c r="AJ28" i="11"/>
  <c r="CI28" i="11" s="1"/>
  <c r="CP28" i="11" s="1"/>
  <c r="BJ5" i="11"/>
  <c r="BQ5" i="11" s="1"/>
  <c r="CF14" i="11"/>
  <c r="AS51" i="11"/>
  <c r="AH51" i="11"/>
  <c r="BI36" i="11"/>
  <c r="BP36" i="11" s="1"/>
  <c r="AI59" i="11"/>
  <c r="AP59" i="11" s="1"/>
  <c r="AK32" i="11"/>
  <c r="AH66" i="11"/>
  <c r="AS66" i="11"/>
  <c r="BI23" i="11"/>
  <c r="BP23" i="11" s="1"/>
  <c r="BI59" i="11"/>
  <c r="BP59" i="11" s="1"/>
  <c r="AJ40" i="11"/>
  <c r="AQ40" i="11" s="1"/>
  <c r="F42" i="18" s="1"/>
  <c r="AI67" i="11"/>
  <c r="AP67" i="11" s="1"/>
  <c r="CJ69" i="11"/>
  <c r="CQ69" i="11" s="1"/>
  <c r="AV67" i="11"/>
  <c r="BH67" i="11" s="1"/>
  <c r="BU67" i="11" s="1"/>
  <c r="CG67" i="11" s="1"/>
  <c r="AK62" i="11"/>
  <c r="AI36" i="11"/>
  <c r="CE36" i="11"/>
  <c r="AJ43" i="11"/>
  <c r="BZ76" i="11"/>
  <c r="BK32" i="11"/>
  <c r="BR32" i="11" s="1"/>
  <c r="AS54" i="11"/>
  <c r="AH54" i="11"/>
  <c r="BJ14" i="11"/>
  <c r="BQ14" i="11" s="1"/>
  <c r="AH27" i="11"/>
  <c r="AS27" i="11"/>
  <c r="AS36" i="11"/>
  <c r="AH36" i="11"/>
  <c r="BI63" i="11"/>
  <c r="BP63" i="11" s="1"/>
  <c r="BJ60" i="11"/>
  <c r="BQ60" i="11" s="1"/>
  <c r="BI53" i="11"/>
  <c r="BP53" i="11" s="1"/>
  <c r="AJ63" i="11"/>
  <c r="BI60" i="11"/>
  <c r="BP60" i="11" s="1"/>
  <c r="BJ40" i="11"/>
  <c r="BQ40" i="11" s="1"/>
  <c r="BJ37" i="11"/>
  <c r="BQ37" i="11" s="1"/>
  <c r="AJ48" i="11"/>
  <c r="BI32" i="11"/>
  <c r="BP32" i="11" s="1"/>
  <c r="BJ30" i="11"/>
  <c r="BQ30" i="11" s="1"/>
  <c r="AI42" i="11"/>
  <c r="AP42" i="11" s="1"/>
  <c r="CA76" i="11"/>
  <c r="BJ6" i="11"/>
  <c r="BQ6" i="11" s="1"/>
  <c r="AS49" i="11"/>
  <c r="AH49" i="11"/>
  <c r="AS25" i="11"/>
  <c r="AH25" i="11"/>
  <c r="CD74" i="11"/>
  <c r="CG74" i="11" s="1"/>
  <c r="CJ74" i="11" s="1"/>
  <c r="CQ74" i="11" s="1"/>
  <c r="BJ61" i="11"/>
  <c r="BQ61" i="11" s="1"/>
  <c r="AI38" i="11"/>
  <c r="AP38" i="11" s="1"/>
  <c r="AU39" i="11"/>
  <c r="BG39" i="11" s="1"/>
  <c r="BT39" i="11" s="1"/>
  <c r="CF39" i="11" s="1"/>
  <c r="AJ10" i="11"/>
  <c r="AQ10" i="11" s="1"/>
  <c r="F12" i="18" s="1"/>
  <c r="AQ69" i="11"/>
  <c r="F71" i="18" s="1"/>
  <c r="AQ33" i="11"/>
  <c r="F35" i="18" s="1"/>
  <c r="AP17" i="11"/>
  <c r="AQ62" i="11"/>
  <c r="F64" i="18" s="1"/>
  <c r="AQ51" i="11"/>
  <c r="F53" i="18" s="1"/>
  <c r="AP54" i="11"/>
  <c r="CH54" i="11"/>
  <c r="CO54" i="11" s="1"/>
  <c r="CH48" i="11"/>
  <c r="CO48" i="11" s="1"/>
  <c r="AP48" i="11"/>
  <c r="AQ54" i="11"/>
  <c r="F56" i="18" s="1"/>
  <c r="AS45" i="11"/>
  <c r="AH45" i="11"/>
  <c r="AV47" i="11"/>
  <c r="BH47" i="11" s="1"/>
  <c r="BU47" i="11" s="1"/>
  <c r="AK47" i="11"/>
  <c r="AU45" i="11"/>
  <c r="BG45" i="11" s="1"/>
  <c r="BT45" i="11" s="1"/>
  <c r="AT37" i="11"/>
  <c r="BF37" i="11" s="1"/>
  <c r="BS37" i="11" s="1"/>
  <c r="CE37" i="11" s="1"/>
  <c r="AQ42" i="11"/>
  <c r="F44" i="18" s="1"/>
  <c r="CC41" i="11"/>
  <c r="CF41" i="11" s="1"/>
  <c r="AU25" i="11"/>
  <c r="BG25" i="11" s="1"/>
  <c r="BT25" i="11" s="1"/>
  <c r="CF25" i="11" s="1"/>
  <c r="AP31" i="11"/>
  <c r="CJ19" i="11"/>
  <c r="CQ19" i="11" s="1"/>
  <c r="AP16" i="11"/>
  <c r="CH16" i="11"/>
  <c r="CO16" i="11" s="1"/>
  <c r="AU9" i="11"/>
  <c r="BG9" i="11" s="1"/>
  <c r="BT9" i="11" s="1"/>
  <c r="CF9" i="11" s="1"/>
  <c r="AP14" i="11"/>
  <c r="AP15" i="11"/>
  <c r="CD15" i="11"/>
  <c r="CG15" i="11" s="1"/>
  <c r="AH73" i="11"/>
  <c r="AS73" i="11"/>
  <c r="AT71" i="11"/>
  <c r="BF71" i="11" s="1"/>
  <c r="BS71" i="11" s="1"/>
  <c r="CE71" i="11" s="1"/>
  <c r="CH72" i="11"/>
  <c r="CO72" i="11" s="1"/>
  <c r="AI75" i="11"/>
  <c r="AS71" i="11"/>
  <c r="AH71" i="11"/>
  <c r="CH65" i="11"/>
  <c r="CO65" i="11" s="1"/>
  <c r="AP65" i="11"/>
  <c r="AI71" i="11"/>
  <c r="BI66" i="11"/>
  <c r="BI73" i="11"/>
  <c r="BP73" i="11" s="1"/>
  <c r="CC68" i="11"/>
  <c r="CF68" i="11" s="1"/>
  <c r="AP62" i="11"/>
  <c r="CD68" i="11"/>
  <c r="CG68" i="11" s="1"/>
  <c r="CJ68" i="11" s="1"/>
  <c r="CQ68" i="11" s="1"/>
  <c r="AI61" i="11"/>
  <c r="BI57" i="11"/>
  <c r="BP57" i="11" s="1"/>
  <c r="AU54" i="11"/>
  <c r="BG54" i="11" s="1"/>
  <c r="BT54" i="11" s="1"/>
  <c r="CF54" i="11" s="1"/>
  <c r="AT52" i="11"/>
  <c r="BF52" i="11" s="1"/>
  <c r="BS52" i="11" s="1"/>
  <c r="CE52" i="11" s="1"/>
  <c r="BI50" i="11"/>
  <c r="BP50" i="11" s="1"/>
  <c r="AU49" i="11"/>
  <c r="BG49" i="11" s="1"/>
  <c r="BT49" i="11" s="1"/>
  <c r="CF49" i="11" s="1"/>
  <c r="BJ63" i="11"/>
  <c r="BQ63" i="11" s="1"/>
  <c r="AQ53" i="11"/>
  <c r="F55" i="18" s="1"/>
  <c r="AP47" i="11"/>
  <c r="CC50" i="11"/>
  <c r="CF50" i="11" s="1"/>
  <c r="CI50" i="11" s="1"/>
  <c r="CP50" i="11" s="1"/>
  <c r="BJ43" i="11"/>
  <c r="BQ43" i="11" s="1"/>
  <c r="AQ44" i="11"/>
  <c r="F46" i="18" s="1"/>
  <c r="CI44" i="11"/>
  <c r="CP44" i="11" s="1"/>
  <c r="BI38" i="11"/>
  <c r="CC48" i="11"/>
  <c r="CF48" i="11" s="1"/>
  <c r="AJ45" i="11"/>
  <c r="AP35" i="11"/>
  <c r="BI44" i="11"/>
  <c r="BP44" i="11" s="1"/>
  <c r="AI37" i="11"/>
  <c r="AT34" i="11"/>
  <c r="BF34" i="11" s="1"/>
  <c r="BS34" i="11" s="1"/>
  <c r="AT31" i="11"/>
  <c r="BF31" i="11" s="1"/>
  <c r="BS31" i="11" s="1"/>
  <c r="CJ29" i="11"/>
  <c r="CQ29" i="11" s="1"/>
  <c r="AT26" i="11"/>
  <c r="BF26" i="11" s="1"/>
  <c r="BS26" i="11" s="1"/>
  <c r="CE26" i="11" s="1"/>
  <c r="BJ23" i="11"/>
  <c r="BQ23" i="11" s="1"/>
  <c r="AP19" i="11"/>
  <c r="AS37" i="11"/>
  <c r="AH37" i="11"/>
  <c r="CH32" i="11"/>
  <c r="CO32" i="11" s="1"/>
  <c r="AJ27" i="11"/>
  <c r="AI26" i="11"/>
  <c r="BK23" i="11"/>
  <c r="BR23" i="11" s="1"/>
  <c r="U76" i="11"/>
  <c r="AG4" i="11"/>
  <c r="T76" i="11"/>
  <c r="CH41" i="11"/>
  <c r="CO41" i="11" s="1"/>
  <c r="AP41" i="11"/>
  <c r="CH29" i="11"/>
  <c r="CO29" i="11" s="1"/>
  <c r="CI26" i="11"/>
  <c r="CP26" i="11" s="1"/>
  <c r="AF76" i="11"/>
  <c r="AI39" i="11"/>
  <c r="AI34" i="11"/>
  <c r="BI27" i="11"/>
  <c r="AK15" i="11"/>
  <c r="BJ46" i="11"/>
  <c r="BQ46" i="11" s="1"/>
  <c r="BJ35" i="11"/>
  <c r="BQ35" i="11" s="1"/>
  <c r="BK33" i="11"/>
  <c r="BR33" i="11" s="1"/>
  <c r="CC31" i="11"/>
  <c r="CF31" i="11" s="1"/>
  <c r="CI31" i="11" s="1"/>
  <c r="CP31" i="11" s="1"/>
  <c r="CC29" i="11"/>
  <c r="CF29" i="11" s="1"/>
  <c r="AV20" i="11"/>
  <c r="BH20" i="11" s="1"/>
  <c r="BU20" i="11" s="1"/>
  <c r="CG20" i="11" s="1"/>
  <c r="BK20" i="11"/>
  <c r="BR20" i="11" s="1"/>
  <c r="AK20" i="11"/>
  <c r="AJ19" i="11"/>
  <c r="AU19" i="11"/>
  <c r="BG19" i="11" s="1"/>
  <c r="BT19" i="11" s="1"/>
  <c r="CF19" i="11" s="1"/>
  <c r="AU12" i="11"/>
  <c r="BG12" i="11" s="1"/>
  <c r="BT12" i="11" s="1"/>
  <c r="CF12" i="11" s="1"/>
  <c r="AT10" i="11"/>
  <c r="BF10" i="11" s="1"/>
  <c r="BS10" i="11" s="1"/>
  <c r="AQ8" i="11"/>
  <c r="F10" i="18" s="1"/>
  <c r="CI8" i="11"/>
  <c r="CP8" i="11" s="1"/>
  <c r="BJ24" i="11"/>
  <c r="BQ24" i="11" s="1"/>
  <c r="BK5" i="11"/>
  <c r="CI13" i="11"/>
  <c r="CP13" i="11" s="1"/>
  <c r="AJ12" i="11"/>
  <c r="BI5" i="11"/>
  <c r="CB61" i="11"/>
  <c r="CE61" i="11" s="1"/>
  <c r="AH58" i="11"/>
  <c r="AS58" i="11"/>
  <c r="AH56" i="11"/>
  <c r="AS56" i="11"/>
  <c r="AU51" i="11"/>
  <c r="BG51" i="11" s="1"/>
  <c r="BT51" i="11" s="1"/>
  <c r="CF51" i="11" s="1"/>
  <c r="AP52" i="11"/>
  <c r="CH60" i="11"/>
  <c r="CO60" i="11" s="1"/>
  <c r="AT58" i="11"/>
  <c r="BF58" i="11" s="1"/>
  <c r="BS58" i="11" s="1"/>
  <c r="CE58" i="11" s="1"/>
  <c r="AI58" i="11"/>
  <c r="AH39" i="11"/>
  <c r="AS39" i="11"/>
  <c r="AQ48" i="11"/>
  <c r="F50" i="18" s="1"/>
  <c r="AQ36" i="11"/>
  <c r="F38" i="18" s="1"/>
  <c r="CC38" i="11"/>
  <c r="CF38" i="11" s="1"/>
  <c r="AQ43" i="11"/>
  <c r="F45" i="18" s="1"/>
  <c r="AH22" i="11"/>
  <c r="AS22" i="11"/>
  <c r="AV4" i="11"/>
  <c r="CH12" i="11"/>
  <c r="CO12" i="11" s="1"/>
  <c r="AP12" i="11"/>
  <c r="CI10" i="11"/>
  <c r="CP10" i="11" s="1"/>
  <c r="AP74" i="11"/>
  <c r="AU75" i="11"/>
  <c r="BG75" i="11" s="1"/>
  <c r="BT75" i="11" s="1"/>
  <c r="CF75" i="11" s="1"/>
  <c r="AJ75" i="11"/>
  <c r="CH69" i="11"/>
  <c r="CO69" i="11" s="1"/>
  <c r="AP69" i="11"/>
  <c r="AU65" i="11"/>
  <c r="BG65" i="11" s="1"/>
  <c r="BT65" i="11" s="1"/>
  <c r="AQ66" i="11"/>
  <c r="F68" i="18" s="1"/>
  <c r="CI66" i="11"/>
  <c r="CP66" i="11" s="1"/>
  <c r="AP64" i="11"/>
  <c r="CI67" i="11"/>
  <c r="CP67" i="11" s="1"/>
  <c r="AQ67" i="11"/>
  <c r="F69" i="18" s="1"/>
  <c r="CB64" i="11"/>
  <c r="CE64" i="11" s="1"/>
  <c r="CH63" i="11"/>
  <c r="CO63" i="11" s="1"/>
  <c r="AV61" i="11"/>
  <c r="BH61" i="11" s="1"/>
  <c r="BU61" i="11" s="1"/>
  <c r="AS59" i="11"/>
  <c r="AH59" i="11"/>
  <c r="AJ65" i="11"/>
  <c r="AK61" i="11"/>
  <c r="AQ59" i="11"/>
  <c r="F61" i="18" s="1"/>
  <c r="AT55" i="11"/>
  <c r="BF55" i="11" s="1"/>
  <c r="BS55" i="11" s="1"/>
  <c r="CB50" i="11"/>
  <c r="CE50" i="11" s="1"/>
  <c r="AI50" i="11"/>
  <c r="AP46" i="11"/>
  <c r="AS50" i="11"/>
  <c r="AH50" i="11"/>
  <c r="AH44" i="11"/>
  <c r="AS44" i="11"/>
  <c r="AH42" i="11"/>
  <c r="AS42" i="11"/>
  <c r="AT40" i="11"/>
  <c r="BF40" i="11" s="1"/>
  <c r="BS40" i="11" s="1"/>
  <c r="CJ38" i="11"/>
  <c r="CQ38" i="11" s="1"/>
  <c r="AP36" i="11"/>
  <c r="CI52" i="11"/>
  <c r="CP52" i="11" s="1"/>
  <c r="AV46" i="11"/>
  <c r="BH46" i="11" s="1"/>
  <c r="BU46" i="11" s="1"/>
  <c r="AI40" i="11"/>
  <c r="AQ37" i="11"/>
  <c r="F39" i="18" s="1"/>
  <c r="CC59" i="11"/>
  <c r="CF59" i="11" s="1"/>
  <c r="AJ38" i="11"/>
  <c r="AJ41" i="11"/>
  <c r="AS40" i="11"/>
  <c r="AH40" i="11"/>
  <c r="AP33" i="11"/>
  <c r="CH33" i="11"/>
  <c r="CO33" i="11" s="1"/>
  <c r="BJ48" i="11"/>
  <c r="BQ48" i="11" s="1"/>
  <c r="AT30" i="11"/>
  <c r="BF30" i="11" s="1"/>
  <c r="BS30" i="11" s="1"/>
  <c r="CE30" i="11" s="1"/>
  <c r="AI30" i="11"/>
  <c r="CH23" i="11"/>
  <c r="CO23" i="11" s="1"/>
  <c r="AP23" i="11"/>
  <c r="AP20" i="11"/>
  <c r="AQ32" i="11"/>
  <c r="F34" i="18" s="1"/>
  <c r="CI32" i="11"/>
  <c r="CP32" i="11" s="1"/>
  <c r="AJ23" i="11"/>
  <c r="AP11" i="11"/>
  <c r="AI44" i="11"/>
  <c r="AS31" i="11"/>
  <c r="AH31" i="11"/>
  <c r="CC34" i="11"/>
  <c r="CF34" i="11" s="1"/>
  <c r="AS26" i="11"/>
  <c r="AH26" i="11"/>
  <c r="AT22" i="11"/>
  <c r="BF22" i="11" s="1"/>
  <c r="BS22" i="11" s="1"/>
  <c r="AI22" i="11"/>
  <c r="AQ18" i="11"/>
  <c r="F20" i="18" s="1"/>
  <c r="CI18" i="11"/>
  <c r="CP18" i="11" s="1"/>
  <c r="AT17" i="11"/>
  <c r="BF17" i="11" s="1"/>
  <c r="BS17" i="11" s="1"/>
  <c r="CE17" i="11" s="1"/>
  <c r="AT15" i="11"/>
  <c r="BF15" i="11" s="1"/>
  <c r="BS15" i="11" s="1"/>
  <c r="AT13" i="11"/>
  <c r="BF13" i="11" s="1"/>
  <c r="BS13" i="11" s="1"/>
  <c r="CI11" i="11"/>
  <c r="CP11" i="11" s="1"/>
  <c r="AQ11" i="11"/>
  <c r="F13" i="18" s="1"/>
  <c r="AH8" i="11"/>
  <c r="AS8" i="11"/>
  <c r="AS34" i="11"/>
  <c r="AH34" i="11"/>
  <c r="V76" i="11"/>
  <c r="CJ9" i="11"/>
  <c r="CQ9" i="11" s="1"/>
  <c r="AJ5" i="11"/>
  <c r="BS4" i="11"/>
  <c r="CD10" i="11"/>
  <c r="CG10" i="11"/>
  <c r="CJ10" i="11" s="1"/>
  <c r="CQ10" i="11" s="1"/>
  <c r="AI10" i="11"/>
  <c r="CI17" i="11"/>
  <c r="CP17" i="11" s="1"/>
  <c r="CI73" i="11"/>
  <c r="CP73" i="11" s="1"/>
  <c r="AQ73" i="11"/>
  <c r="F75" i="18" s="1"/>
  <c r="AQ74" i="11"/>
  <c r="F76" i="18" s="1"/>
  <c r="CH73" i="11"/>
  <c r="CO73" i="11" s="1"/>
  <c r="AP73" i="11"/>
  <c r="AP49" i="11"/>
  <c r="CH49" i="11"/>
  <c r="CO49" i="11" s="1"/>
  <c r="AQ63" i="11"/>
  <c r="F65" i="18" s="1"/>
  <c r="CB38" i="11"/>
  <c r="CE38" i="11" s="1"/>
  <c r="CI21" i="11"/>
  <c r="CP21" i="11" s="1"/>
  <c r="AQ21" i="11"/>
  <c r="F23" i="18" s="1"/>
  <c r="CH18" i="11"/>
  <c r="CO18" i="11" s="1"/>
  <c r="AP18" i="11"/>
  <c r="BP4" i="11"/>
  <c r="AJ25" i="11"/>
  <c r="CC46" i="11"/>
  <c r="CF46" i="11" s="1"/>
  <c r="CD33" i="11"/>
  <c r="CG33" i="11" s="1"/>
  <c r="CJ33" i="11" s="1"/>
  <c r="CQ33" i="11" s="1"/>
  <c r="AH16" i="11"/>
  <c r="AS16" i="11"/>
  <c r="AH14" i="11"/>
  <c r="AS14" i="11"/>
  <c r="AQ6" i="11"/>
  <c r="F8" i="18" s="1"/>
  <c r="CI6" i="11"/>
  <c r="CP6" i="11" s="1"/>
  <c r="BI75" i="11"/>
  <c r="BP75" i="11" s="1"/>
  <c r="AU74" i="11"/>
  <c r="BG74" i="11" s="1"/>
  <c r="BT74" i="11" s="1"/>
  <c r="CJ72" i="11"/>
  <c r="CQ72" i="11" s="1"/>
  <c r="AP70" i="11"/>
  <c r="CH70" i="11"/>
  <c r="CO70" i="11" s="1"/>
  <c r="BJ70" i="11"/>
  <c r="BQ70" i="11" s="1"/>
  <c r="AJ70" i="11"/>
  <c r="CI71" i="11"/>
  <c r="CP71" i="11" s="1"/>
  <c r="AQ71" i="11"/>
  <c r="F73" i="18" s="1"/>
  <c r="AU69" i="11"/>
  <c r="BG69" i="11" s="1"/>
  <c r="BT69" i="11" s="1"/>
  <c r="BI64" i="11"/>
  <c r="BP64" i="11" s="1"/>
  <c r="AU64" i="11"/>
  <c r="BG64" i="11" s="1"/>
  <c r="AJ64" i="11"/>
  <c r="AJ72" i="11"/>
  <c r="AJ68" i="11"/>
  <c r="CI61" i="11"/>
  <c r="CP61" i="11" s="1"/>
  <c r="AQ61" i="11"/>
  <c r="F63" i="18" s="1"/>
  <c r="AU62" i="11"/>
  <c r="BG62" i="11" s="1"/>
  <c r="BT62" i="11" s="1"/>
  <c r="BI61" i="11"/>
  <c r="BP61" i="11" s="1"/>
  <c r="BK67" i="11"/>
  <c r="BR67" i="11" s="1"/>
  <c r="AJ60" i="11"/>
  <c r="CI58" i="11"/>
  <c r="CP58" i="11" s="1"/>
  <c r="AQ58" i="11"/>
  <c r="F60" i="18" s="1"/>
  <c r="AP51" i="11"/>
  <c r="CH51" i="11"/>
  <c r="CO51" i="11" s="1"/>
  <c r="CJ48" i="11"/>
  <c r="CQ48" i="11" s="1"/>
  <c r="AI55" i="11"/>
  <c r="CC53" i="11"/>
  <c r="CF53" i="11" s="1"/>
  <c r="CI53" i="11" s="1"/>
  <c r="CP53" i="11" s="1"/>
  <c r="AI57" i="11"/>
  <c r="AJ49" i="11"/>
  <c r="CD62" i="11"/>
  <c r="CG62" i="11" s="1"/>
  <c r="CJ62" i="11" s="1"/>
  <c r="CQ62" i="11" s="1"/>
  <c r="BJ57" i="11"/>
  <c r="AS55" i="11"/>
  <c r="AH55" i="11"/>
  <c r="AS52" i="11"/>
  <c r="AH52" i="11"/>
  <c r="AP45" i="11"/>
  <c r="BI43" i="11"/>
  <c r="BP43" i="11" s="1"/>
  <c r="AU36" i="11"/>
  <c r="BG36" i="11" s="1"/>
  <c r="BT36" i="11" s="1"/>
  <c r="BJ59" i="11"/>
  <c r="BQ59" i="11" s="1"/>
  <c r="AS57" i="11"/>
  <c r="AH57" i="11"/>
  <c r="AS43" i="11"/>
  <c r="AH43" i="11"/>
  <c r="BJ38" i="11"/>
  <c r="BQ38" i="11" s="1"/>
  <c r="AK46" i="11"/>
  <c r="BJ41" i="11"/>
  <c r="BQ41" i="11" s="1"/>
  <c r="AU33" i="11"/>
  <c r="BG33" i="11" s="1"/>
  <c r="BT33" i="11" s="1"/>
  <c r="AH30" i="11"/>
  <c r="AS30" i="11"/>
  <c r="AP25" i="11"/>
  <c r="CH25" i="11"/>
  <c r="CO25" i="11" s="1"/>
  <c r="CI22" i="11"/>
  <c r="CP22" i="11" s="1"/>
  <c r="AQ22" i="11"/>
  <c r="F24" i="18" s="1"/>
  <c r="AQ34" i="11"/>
  <c r="F36" i="18" s="1"/>
  <c r="BJ27" i="11"/>
  <c r="BQ27" i="11" s="1"/>
  <c r="CH24" i="11"/>
  <c r="CO24" i="11" s="1"/>
  <c r="AP4" i="11"/>
  <c r="CI30" i="11"/>
  <c r="CP30" i="11" s="1"/>
  <c r="BK28" i="11"/>
  <c r="BR28" i="11" s="1"/>
  <c r="CI20" i="11"/>
  <c r="CP20" i="11" s="1"/>
  <c r="AQ20" i="11"/>
  <c r="CI7" i="11"/>
  <c r="CP7" i="11" s="1"/>
  <c r="AQ7" i="11"/>
  <c r="F9" i="18" s="1"/>
  <c r="AI43" i="11"/>
  <c r="BI39" i="11"/>
  <c r="BP39" i="11" s="1"/>
  <c r="BK15" i="11"/>
  <c r="BR15" i="11" s="1"/>
  <c r="CD41" i="11"/>
  <c r="CG41" i="11" s="1"/>
  <c r="CJ41" i="11" s="1"/>
  <c r="CQ41" i="11" s="1"/>
  <c r="AJ24" i="11"/>
  <c r="CH8" i="11"/>
  <c r="CO8" i="11" s="1"/>
  <c r="AP8" i="11"/>
  <c r="AJ46" i="11"/>
  <c r="AJ35" i="11"/>
  <c r="BJ34" i="11"/>
  <c r="BQ34" i="11" s="1"/>
  <c r="AJ29" i="11"/>
  <c r="CJ24" i="11"/>
  <c r="CQ24" i="11" s="1"/>
  <c r="CH21" i="11"/>
  <c r="CO21" i="11" s="1"/>
  <c r="AP21" i="11"/>
  <c r="BJ19" i="11"/>
  <c r="BQ19" i="11" s="1"/>
  <c r="CJ18" i="11"/>
  <c r="CQ18" i="11" s="1"/>
  <c r="AQ16" i="11"/>
  <c r="F18" i="18" s="1"/>
  <c r="CI16" i="11"/>
  <c r="CP16" i="11" s="1"/>
  <c r="AQ14" i="11"/>
  <c r="F16" i="18" s="1"/>
  <c r="CI14" i="11"/>
  <c r="CP14" i="11" s="1"/>
  <c r="AH11" i="11"/>
  <c r="AS11" i="11"/>
  <c r="AP9" i="11"/>
  <c r="AH6" i="11"/>
  <c r="AS6" i="11"/>
  <c r="AK4" i="11"/>
  <c r="AV35" i="11"/>
  <c r="BH35" i="11" s="1"/>
  <c r="BU35" i="11" s="1"/>
  <c r="CG35" i="11" s="1"/>
  <c r="CH28" i="11"/>
  <c r="CO28" i="11" s="1"/>
  <c r="AI6" i="11"/>
  <c r="AI13" i="11"/>
  <c r="CH7" i="11"/>
  <c r="CO7" i="11" s="1"/>
  <c r="AJ9" i="11"/>
  <c r="CI15" i="11"/>
  <c r="CP15" i="11" s="1"/>
  <c r="BI6" i="11"/>
  <c r="BP6" i="11" s="1"/>
  <c r="R13" i="12" l="1"/>
  <c r="T13" i="12" s="1"/>
  <c r="W13" i="12" s="1"/>
  <c r="X13" i="12"/>
  <c r="W21" i="12"/>
  <c r="X21" i="12" s="1"/>
  <c r="BS14" i="11"/>
  <c r="CB14" i="11" s="1"/>
  <c r="CE14" i="11" s="1"/>
  <c r="BI14" i="11"/>
  <c r="BU17" i="11"/>
  <c r="CG17" i="11" s="1"/>
  <c r="BK17" i="11"/>
  <c r="BS46" i="11"/>
  <c r="CB46" i="11" s="1"/>
  <c r="CE46" i="11" s="1"/>
  <c r="BI46" i="11"/>
  <c r="BS45" i="11"/>
  <c r="CB45" i="11" s="1"/>
  <c r="CE45" i="11" s="1"/>
  <c r="BI45" i="11"/>
  <c r="BS19" i="11"/>
  <c r="CE19" i="11" s="1"/>
  <c r="BI19" i="11"/>
  <c r="BS20" i="11"/>
  <c r="CE20" i="11" s="1"/>
  <c r="BI20" i="11"/>
  <c r="BS62" i="11"/>
  <c r="CB62" i="11" s="1"/>
  <c r="CE62" i="11" s="1"/>
  <c r="BI62" i="11"/>
  <c r="BU64" i="11"/>
  <c r="CD64" i="11" s="1"/>
  <c r="CG64" i="11" s="1"/>
  <c r="BK64" i="11"/>
  <c r="BS9" i="11"/>
  <c r="CE9" i="11" s="1"/>
  <c r="BI9" i="11"/>
  <c r="CH36" i="11"/>
  <c r="CO36" i="11" s="1"/>
  <c r="BT47" i="11"/>
  <c r="CC47" i="11" s="1"/>
  <c r="CF47" i="11" s="1"/>
  <c r="BJ47" i="11"/>
  <c r="BU7" i="11"/>
  <c r="CG7" i="11" s="1"/>
  <c r="BK7" i="11"/>
  <c r="BU70" i="11"/>
  <c r="CG70" i="11" s="1"/>
  <c r="BK70" i="11"/>
  <c r="BS47" i="11"/>
  <c r="CB47" i="11" s="1"/>
  <c r="CE47" i="11" s="1"/>
  <c r="BI47" i="11"/>
  <c r="BU65" i="11"/>
  <c r="BK65" i="11"/>
  <c r="BR65" i="11" s="1"/>
  <c r="BT55" i="11"/>
  <c r="BJ55" i="11"/>
  <c r="CJ60" i="11"/>
  <c r="CQ60" i="11" s="1"/>
  <c r="BS35" i="11"/>
  <c r="CE35" i="11" s="1"/>
  <c r="BI35" i="11"/>
  <c r="BS74" i="11"/>
  <c r="CB74" i="11" s="1"/>
  <c r="CE74" i="11" s="1"/>
  <c r="BI74" i="11"/>
  <c r="BS68" i="11"/>
  <c r="BI68" i="11"/>
  <c r="CH67" i="11"/>
  <c r="CO67" i="11" s="1"/>
  <c r="BT56" i="11"/>
  <c r="CF56" i="11" s="1"/>
  <c r="BJ56" i="11"/>
  <c r="BS11" i="11"/>
  <c r="CE11" i="11" s="1"/>
  <c r="BI11" i="11"/>
  <c r="BT42" i="11"/>
  <c r="CF42" i="11" s="1"/>
  <c r="BJ42" i="11"/>
  <c r="BU13" i="11"/>
  <c r="CD13" i="11" s="1"/>
  <c r="CG13" i="11" s="1"/>
  <c r="BK13" i="11"/>
  <c r="BR13" i="11" s="1"/>
  <c r="CJ67" i="11"/>
  <c r="CQ67" i="11" s="1"/>
  <c r="BJ39" i="11"/>
  <c r="BQ39" i="11" s="1"/>
  <c r="BJ74" i="11"/>
  <c r="BQ74" i="11" s="1"/>
  <c r="BJ54" i="11"/>
  <c r="BQ54" i="11" s="1"/>
  <c r="BI71" i="11"/>
  <c r="BP71" i="11" s="1"/>
  <c r="BJ9" i="11"/>
  <c r="BQ9" i="11" s="1"/>
  <c r="AH76" i="11"/>
  <c r="W8" i="12"/>
  <c r="X8" i="12" s="1"/>
  <c r="W52" i="12"/>
  <c r="X52" i="12" s="1"/>
  <c r="W26" i="12"/>
  <c r="X26" i="12" s="1"/>
  <c r="W28" i="12"/>
  <c r="X28" i="12" s="1"/>
  <c r="W69" i="12"/>
  <c r="X69" i="12" s="1"/>
  <c r="W20" i="12"/>
  <c r="X20" i="12" s="1"/>
  <c r="W48" i="12"/>
  <c r="X48" i="12" s="1"/>
  <c r="W12" i="12"/>
  <c r="X12" i="12" s="1"/>
  <c r="W45" i="12"/>
  <c r="X45" i="12" s="1"/>
  <c r="W6" i="12"/>
  <c r="X6" i="12" s="1"/>
  <c r="W39" i="12"/>
  <c r="X39" i="12" s="1"/>
  <c r="W67" i="12"/>
  <c r="X67" i="12" s="1"/>
  <c r="W40" i="12"/>
  <c r="X40" i="12" s="1"/>
  <c r="W15" i="12"/>
  <c r="X15" i="12" s="1"/>
  <c r="W60" i="12"/>
  <c r="X60" i="12" s="1"/>
  <c r="W19" i="12"/>
  <c r="X19" i="12" s="1"/>
  <c r="W63" i="12"/>
  <c r="X63" i="12" s="1"/>
  <c r="W11" i="12"/>
  <c r="X11" i="12" s="1"/>
  <c r="W55" i="12"/>
  <c r="X55" i="12" s="1"/>
  <c r="W56" i="12"/>
  <c r="X56" i="12" s="1"/>
  <c r="W29" i="12"/>
  <c r="X29" i="12" s="1"/>
  <c r="W27" i="12"/>
  <c r="X27" i="12" s="1"/>
  <c r="W73" i="12"/>
  <c r="X73" i="12" s="1"/>
  <c r="W23" i="12"/>
  <c r="X23" i="12" s="1"/>
  <c r="W51" i="12"/>
  <c r="X51" i="12" s="1"/>
  <c r="W72" i="12"/>
  <c r="X72" i="12" s="1"/>
  <c r="W33" i="12"/>
  <c r="X33" i="12" s="1"/>
  <c r="W10" i="12"/>
  <c r="X10" i="12" s="1"/>
  <c r="W7" i="12"/>
  <c r="X7" i="12" s="1"/>
  <c r="W5" i="12"/>
  <c r="X5" i="12" s="1"/>
  <c r="W65" i="12"/>
  <c r="X65" i="12" s="1"/>
  <c r="W59" i="12"/>
  <c r="X59" i="12" s="1"/>
  <c r="W25" i="12"/>
  <c r="X25" i="12" s="1"/>
  <c r="W47" i="12"/>
  <c r="X47" i="12" s="1"/>
  <c r="W61" i="12"/>
  <c r="X61" i="12" s="1"/>
  <c r="W24" i="12"/>
  <c r="X24" i="12" s="1"/>
  <c r="W22" i="12"/>
  <c r="X22" i="12" s="1"/>
  <c r="W14" i="12"/>
  <c r="X14" i="12" s="1"/>
  <c r="W75" i="12"/>
  <c r="X75" i="12" s="1"/>
  <c r="W68" i="12"/>
  <c r="X68" i="12" s="1"/>
  <c r="W43" i="12"/>
  <c r="X43" i="12" s="1"/>
  <c r="W16" i="12"/>
  <c r="X16" i="12" s="1"/>
  <c r="W71" i="12"/>
  <c r="X71" i="12" s="1"/>
  <c r="W35" i="12"/>
  <c r="X35" i="12" s="1"/>
  <c r="L76" i="12"/>
  <c r="B78" i="18" s="1"/>
  <c r="M24" i="13" s="1"/>
  <c r="N4" i="12"/>
  <c r="W41" i="12"/>
  <c r="X41" i="12" s="1"/>
  <c r="W18" i="12"/>
  <c r="X18" i="12" s="1"/>
  <c r="W31" i="12"/>
  <c r="X31" i="12" s="1"/>
  <c r="W64" i="12"/>
  <c r="X64" i="12" s="1"/>
  <c r="W17" i="12"/>
  <c r="X17" i="12" s="1"/>
  <c r="W49" i="12"/>
  <c r="X49" i="12" s="1"/>
  <c r="W34" i="12"/>
  <c r="X34" i="12" s="1"/>
  <c r="W36" i="12"/>
  <c r="X36" i="12" s="1"/>
  <c r="W44" i="12"/>
  <c r="X44" i="12" s="1"/>
  <c r="W57" i="12"/>
  <c r="X57" i="12" s="1"/>
  <c r="W38" i="12"/>
  <c r="X38" i="12" s="1"/>
  <c r="W9" i="12"/>
  <c r="X9" i="12" s="1"/>
  <c r="W37" i="12"/>
  <c r="X37" i="12" s="1"/>
  <c r="W32" i="12"/>
  <c r="X32" i="12" s="1"/>
  <c r="W42" i="12"/>
  <c r="X42" i="12" s="1"/>
  <c r="W30" i="12"/>
  <c r="X30" i="12" s="1"/>
  <c r="W53" i="12"/>
  <c r="X53" i="12" s="1"/>
  <c r="AV66" i="11"/>
  <c r="BH66" i="11" s="1"/>
  <c r="BU66" i="11" s="1"/>
  <c r="CG66" i="11" s="1"/>
  <c r="AK66" i="11"/>
  <c r="AV51" i="11"/>
  <c r="BH51" i="11" s="1"/>
  <c r="BU51" i="11" s="1"/>
  <c r="CG51" i="11" s="1"/>
  <c r="AK51" i="11"/>
  <c r="CH53" i="11"/>
  <c r="CO53" i="11" s="1"/>
  <c r="BI13" i="11"/>
  <c r="BP13" i="11" s="1"/>
  <c r="BK61" i="11"/>
  <c r="BR61" i="11" s="1"/>
  <c r="CH42" i="11"/>
  <c r="CO42" i="11" s="1"/>
  <c r="BI34" i="11"/>
  <c r="BP34" i="11" s="1"/>
  <c r="AQ28" i="11"/>
  <c r="F30" i="18" s="1"/>
  <c r="CH56" i="11"/>
  <c r="CO56" i="11" s="1"/>
  <c r="BJ45" i="11"/>
  <c r="BQ45" i="11" s="1"/>
  <c r="AV36" i="11"/>
  <c r="BH36" i="11" s="1"/>
  <c r="BU36" i="11" s="1"/>
  <c r="AK36" i="11"/>
  <c r="AV27" i="11"/>
  <c r="BH27" i="11" s="1"/>
  <c r="BU27" i="11" s="1"/>
  <c r="CG27" i="11" s="1"/>
  <c r="AK27" i="11"/>
  <c r="CJ32" i="11"/>
  <c r="CQ32" i="11" s="1"/>
  <c r="AV25" i="11"/>
  <c r="BH25" i="11" s="1"/>
  <c r="BU25" i="11" s="1"/>
  <c r="CG25" i="11" s="1"/>
  <c r="AK25" i="11"/>
  <c r="AV12" i="11"/>
  <c r="BH12" i="11" s="1"/>
  <c r="BU12" i="11" s="1"/>
  <c r="CG12" i="11" s="1"/>
  <c r="BK12" i="11"/>
  <c r="BR12" i="11" s="1"/>
  <c r="AK12" i="11"/>
  <c r="AV49" i="11"/>
  <c r="BH49" i="11" s="1"/>
  <c r="BU49" i="11" s="1"/>
  <c r="CG49" i="11" s="1"/>
  <c r="AK49" i="11"/>
  <c r="AT76" i="11"/>
  <c r="AS76" i="11"/>
  <c r="BJ33" i="11"/>
  <c r="BQ33" i="11" s="1"/>
  <c r="BI15" i="11"/>
  <c r="BP15" i="11" s="1"/>
  <c r="CI37" i="11"/>
  <c r="CP37" i="11" s="1"/>
  <c r="BI40" i="11"/>
  <c r="BP40" i="11" s="1"/>
  <c r="BJ51" i="11"/>
  <c r="BQ51" i="11" s="1"/>
  <c r="BI31" i="11"/>
  <c r="BP31" i="11" s="1"/>
  <c r="BJ25" i="11"/>
  <c r="BQ25" i="11" s="1"/>
  <c r="BI37" i="11"/>
  <c r="BP37" i="11" s="1"/>
  <c r="CI39" i="11"/>
  <c r="CP39" i="11" s="1"/>
  <c r="CI40" i="11"/>
  <c r="CP40" i="11" s="1"/>
  <c r="AV54" i="11"/>
  <c r="BH54" i="11" s="1"/>
  <c r="BU54" i="11" s="1"/>
  <c r="CG54" i="11" s="1"/>
  <c r="AK54" i="11"/>
  <c r="CH59" i="11"/>
  <c r="CO59" i="11" s="1"/>
  <c r="AP55" i="11"/>
  <c r="AV14" i="11"/>
  <c r="BH14" i="11" s="1"/>
  <c r="BU14" i="11" s="1"/>
  <c r="AK14" i="11"/>
  <c r="BP5" i="11"/>
  <c r="CH5" i="11"/>
  <c r="CO5" i="11" s="1"/>
  <c r="AQ27" i="11"/>
  <c r="F29" i="18" s="1"/>
  <c r="CI27" i="11"/>
  <c r="CP27" i="11" s="1"/>
  <c r="BI58" i="11"/>
  <c r="BP58" i="11" s="1"/>
  <c r="CI9" i="11"/>
  <c r="CP9" i="11" s="1"/>
  <c r="AQ9" i="11"/>
  <c r="F11" i="18" s="1"/>
  <c r="CI29" i="11"/>
  <c r="CP29" i="11" s="1"/>
  <c r="AQ29" i="11"/>
  <c r="F31" i="18" s="1"/>
  <c r="CH43" i="11"/>
  <c r="CO43" i="11" s="1"/>
  <c r="AP43" i="11"/>
  <c r="CI34" i="11"/>
  <c r="CP34" i="11" s="1"/>
  <c r="CC33" i="11"/>
  <c r="CF33" i="11" s="1"/>
  <c r="CI33" i="11" s="1"/>
  <c r="CP33" i="11" s="1"/>
  <c r="AV43" i="11"/>
  <c r="BH43" i="11" s="1"/>
  <c r="BU43" i="11" s="1"/>
  <c r="CG43" i="11" s="1"/>
  <c r="AK43" i="11"/>
  <c r="AV55" i="11"/>
  <c r="BH55" i="11" s="1"/>
  <c r="BU55" i="11" s="1"/>
  <c r="AK55" i="11"/>
  <c r="BJ62" i="11"/>
  <c r="BJ69" i="11"/>
  <c r="CI70" i="11"/>
  <c r="CP70" i="11" s="1"/>
  <c r="AQ70" i="11"/>
  <c r="F72" i="18" s="1"/>
  <c r="AP10" i="11"/>
  <c r="BF76" i="11"/>
  <c r="AV34" i="11"/>
  <c r="BH34" i="11" s="1"/>
  <c r="BU34" i="11" s="1"/>
  <c r="AK34" i="11"/>
  <c r="CB15" i="11"/>
  <c r="CE15" i="11" s="1"/>
  <c r="CH15" i="11" s="1"/>
  <c r="CO15" i="11" s="1"/>
  <c r="AV26" i="11"/>
  <c r="BH26" i="11" s="1"/>
  <c r="BU26" i="11" s="1"/>
  <c r="CG26" i="11" s="1"/>
  <c r="AK26" i="11"/>
  <c r="AV40" i="11"/>
  <c r="BH40" i="11" s="1"/>
  <c r="BU40" i="11" s="1"/>
  <c r="BK40" i="11"/>
  <c r="BR40" i="11" s="1"/>
  <c r="AK40" i="11"/>
  <c r="CB40" i="11"/>
  <c r="CE40" i="11" s="1"/>
  <c r="CH40" i="11" s="1"/>
  <c r="CO40" i="11" s="1"/>
  <c r="CI59" i="11"/>
  <c r="CP59" i="11" s="1"/>
  <c r="BJ65" i="11"/>
  <c r="BQ65" i="11" s="1"/>
  <c r="AQ75" i="11"/>
  <c r="F77" i="18" s="1"/>
  <c r="BH4" i="11"/>
  <c r="AV58" i="11"/>
  <c r="BH58" i="11" s="1"/>
  <c r="BU58" i="11" s="1"/>
  <c r="CG58" i="11" s="1"/>
  <c r="AK58" i="11"/>
  <c r="AQ12" i="11"/>
  <c r="F14" i="18" s="1"/>
  <c r="BI10" i="11"/>
  <c r="BP10" i="11" s="1"/>
  <c r="AP39" i="11"/>
  <c r="CH39" i="11"/>
  <c r="CO39" i="11" s="1"/>
  <c r="CB34" i="11"/>
  <c r="CE34" i="11" s="1"/>
  <c r="CH34" i="11" s="1"/>
  <c r="CO34" i="11" s="1"/>
  <c r="BP38" i="11"/>
  <c r="CH38" i="11"/>
  <c r="CO38" i="11" s="1"/>
  <c r="BJ49" i="11"/>
  <c r="BQ49" i="11" s="1"/>
  <c r="BI52" i="11"/>
  <c r="CH75" i="11"/>
  <c r="CO75" i="11" s="1"/>
  <c r="AP75" i="11"/>
  <c r="BK47" i="11"/>
  <c r="BR47" i="11" s="1"/>
  <c r="CI51" i="11"/>
  <c r="CP51" i="11" s="1"/>
  <c r="BJ75" i="11"/>
  <c r="BQ75" i="11" s="1"/>
  <c r="CH57" i="11"/>
  <c r="CO57" i="11" s="1"/>
  <c r="AP57" i="11"/>
  <c r="CI72" i="11"/>
  <c r="CP72" i="11" s="1"/>
  <c r="AQ72" i="11"/>
  <c r="F74" i="18" s="1"/>
  <c r="BS76" i="11"/>
  <c r="CB4" i="11"/>
  <c r="CE4" i="11" s="1"/>
  <c r="BK8" i="11"/>
  <c r="BR8" i="11" s="1"/>
  <c r="AV8" i="11"/>
  <c r="BH8" i="11" s="1"/>
  <c r="BU8" i="11" s="1"/>
  <c r="CG8" i="11" s="1"/>
  <c r="AK8" i="11"/>
  <c r="CB22" i="11"/>
  <c r="CE22" i="11" s="1"/>
  <c r="CH44" i="11"/>
  <c r="CO44" i="11" s="1"/>
  <c r="AP44" i="11"/>
  <c r="CI38" i="11"/>
  <c r="CP38" i="11" s="1"/>
  <c r="AQ38" i="11"/>
  <c r="F40" i="18" s="1"/>
  <c r="BI30" i="11"/>
  <c r="BP30" i="11" s="1"/>
  <c r="CC36" i="11"/>
  <c r="CF36" i="11" s="1"/>
  <c r="AQ49" i="11"/>
  <c r="F51" i="18" s="1"/>
  <c r="CI60" i="11"/>
  <c r="CP60" i="11" s="1"/>
  <c r="AQ60" i="11"/>
  <c r="F62" i="18" s="1"/>
  <c r="CC62" i="11"/>
  <c r="CF62" i="11" s="1"/>
  <c r="AQ64" i="11"/>
  <c r="F66" i="18" s="1"/>
  <c r="CC69" i="11"/>
  <c r="CF69" i="11" s="1"/>
  <c r="AV16" i="11"/>
  <c r="BH16" i="11" s="1"/>
  <c r="BU16" i="11" s="1"/>
  <c r="AK16" i="11"/>
  <c r="CI5" i="11"/>
  <c r="CP5" i="11" s="1"/>
  <c r="AQ5" i="11"/>
  <c r="F7" i="18" s="1"/>
  <c r="AV31" i="11"/>
  <c r="BH31" i="11" s="1"/>
  <c r="BU31" i="11" s="1"/>
  <c r="AK31" i="11"/>
  <c r="AP40" i="11"/>
  <c r="AV44" i="11"/>
  <c r="BH44" i="11" s="1"/>
  <c r="BU44" i="11" s="1"/>
  <c r="CG44" i="11" s="1"/>
  <c r="AK44" i="11"/>
  <c r="CB55" i="11"/>
  <c r="CE55" i="11" s="1"/>
  <c r="CH64" i="11"/>
  <c r="CO64" i="11" s="1"/>
  <c r="CC65" i="11"/>
  <c r="CF65" i="11" s="1"/>
  <c r="CI65" i="11" s="1"/>
  <c r="CP65" i="11" s="1"/>
  <c r="CI43" i="11"/>
  <c r="CP43" i="11" s="1"/>
  <c r="AV39" i="11"/>
  <c r="BH39" i="11" s="1"/>
  <c r="BU39" i="11" s="1"/>
  <c r="CG39" i="11" s="1"/>
  <c r="AK39" i="11"/>
  <c r="CB10" i="11"/>
  <c r="CE10" i="11" s="1"/>
  <c r="CH10" i="11" s="1"/>
  <c r="CO10" i="11" s="1"/>
  <c r="CI19" i="11"/>
  <c r="CP19" i="11" s="1"/>
  <c r="AQ19" i="11"/>
  <c r="F21" i="18" s="1"/>
  <c r="CJ15" i="11"/>
  <c r="CQ15" i="11" s="1"/>
  <c r="AV37" i="11"/>
  <c r="BH37" i="11" s="1"/>
  <c r="BU37" i="11" s="1"/>
  <c r="CG37" i="11" s="1"/>
  <c r="AK37" i="11"/>
  <c r="AP37" i="11"/>
  <c r="AQ45" i="11"/>
  <c r="F47" i="18" s="1"/>
  <c r="CH61" i="11"/>
  <c r="CO61" i="11" s="1"/>
  <c r="AP61" i="11"/>
  <c r="BP66" i="11"/>
  <c r="CH66" i="11"/>
  <c r="CO66" i="11" s="1"/>
  <c r="BK73" i="11"/>
  <c r="BR73" i="11" s="1"/>
  <c r="AV73" i="11"/>
  <c r="BH73" i="11" s="1"/>
  <c r="BU73" i="11" s="1"/>
  <c r="CG73" i="11" s="1"/>
  <c r="AK73" i="11"/>
  <c r="CD47" i="11"/>
  <c r="CG47" i="11" s="1"/>
  <c r="CI54" i="11"/>
  <c r="CP54" i="11" s="1"/>
  <c r="AP6" i="11"/>
  <c r="CH6" i="11"/>
  <c r="CO6" i="11" s="1"/>
  <c r="CI46" i="11"/>
  <c r="CP46" i="11" s="1"/>
  <c r="AQ46" i="11"/>
  <c r="F48" i="18" s="1"/>
  <c r="CD46" i="11"/>
  <c r="CG46" i="11" s="1"/>
  <c r="AV42" i="11"/>
  <c r="BH42" i="11" s="1"/>
  <c r="BU42" i="11" s="1"/>
  <c r="CG42" i="11" s="1"/>
  <c r="AK42" i="11"/>
  <c r="AV59" i="11"/>
  <c r="BH59" i="11" s="1"/>
  <c r="BU59" i="11" s="1"/>
  <c r="AK59" i="11"/>
  <c r="BK59" i="11"/>
  <c r="BR59" i="11" s="1"/>
  <c r="AP34" i="11"/>
  <c r="AG76" i="11"/>
  <c r="AU4" i="11"/>
  <c r="AJ4" i="11"/>
  <c r="AP13" i="11"/>
  <c r="BK35" i="11"/>
  <c r="AV6" i="11"/>
  <c r="BH6" i="11" s="1"/>
  <c r="BU6" i="11" s="1"/>
  <c r="CG6" i="11" s="1"/>
  <c r="BK6" i="11"/>
  <c r="BR6" i="11" s="1"/>
  <c r="AK6" i="11"/>
  <c r="AV11" i="11"/>
  <c r="BH11" i="11" s="1"/>
  <c r="BU11" i="11" s="1"/>
  <c r="CG11" i="11" s="1"/>
  <c r="AK11" i="11"/>
  <c r="AQ35" i="11"/>
  <c r="F37" i="18" s="1"/>
  <c r="CI35" i="11"/>
  <c r="CP35" i="11" s="1"/>
  <c r="AQ24" i="11"/>
  <c r="F26" i="18" s="1"/>
  <c r="CI24" i="11"/>
  <c r="CP24" i="11" s="1"/>
  <c r="CJ28" i="11"/>
  <c r="CQ28" i="11" s="1"/>
  <c r="AI76" i="11"/>
  <c r="AV30" i="11"/>
  <c r="BH30" i="11" s="1"/>
  <c r="BU30" i="11" s="1"/>
  <c r="CG30" i="11" s="1"/>
  <c r="AK30" i="11"/>
  <c r="BK30" i="11"/>
  <c r="BR30" i="11" s="1"/>
  <c r="AV57" i="11"/>
  <c r="BH57" i="11" s="1"/>
  <c r="BU57" i="11" s="1"/>
  <c r="CG57" i="11" s="1"/>
  <c r="AK57" i="11"/>
  <c r="BK57" i="11"/>
  <c r="BR57" i="11" s="1"/>
  <c r="BJ36" i="11"/>
  <c r="AV52" i="11"/>
  <c r="BH52" i="11" s="1"/>
  <c r="BU52" i="11" s="1"/>
  <c r="CG52" i="11" s="1"/>
  <c r="AK52" i="11"/>
  <c r="BQ57" i="11"/>
  <c r="CI57" i="11"/>
  <c r="CP57" i="11" s="1"/>
  <c r="AQ68" i="11"/>
  <c r="F70" i="18" s="1"/>
  <c r="CI68" i="11"/>
  <c r="CP68" i="11" s="1"/>
  <c r="BT64" i="11"/>
  <c r="BJ64" i="11"/>
  <c r="BQ64" i="11" s="1"/>
  <c r="CC74" i="11"/>
  <c r="CF74" i="11" s="1"/>
  <c r="CI74" i="11" s="1"/>
  <c r="CP74" i="11" s="1"/>
  <c r="CI25" i="11"/>
  <c r="CP25" i="11" s="1"/>
  <c r="AQ25" i="11"/>
  <c r="F27" i="18" s="1"/>
  <c r="CI63" i="11"/>
  <c r="CP63" i="11" s="1"/>
  <c r="CB13" i="11"/>
  <c r="CE13" i="11" s="1"/>
  <c r="CH13" i="11" s="1"/>
  <c r="CO13" i="11" s="1"/>
  <c r="BI17" i="11"/>
  <c r="AP22" i="11"/>
  <c r="CI23" i="11"/>
  <c r="CP23" i="11" s="1"/>
  <c r="AQ23" i="11"/>
  <c r="F25" i="18" s="1"/>
  <c r="AP30" i="11"/>
  <c r="CH30" i="11"/>
  <c r="CO30" i="11" s="1"/>
  <c r="CI41" i="11"/>
  <c r="CP41" i="11" s="1"/>
  <c r="AQ41" i="11"/>
  <c r="F43" i="18" s="1"/>
  <c r="BK46" i="11"/>
  <c r="BR46" i="11" s="1"/>
  <c r="AV50" i="11"/>
  <c r="BH50" i="11" s="1"/>
  <c r="BU50" i="11" s="1"/>
  <c r="AK50" i="11"/>
  <c r="CH50" i="11"/>
  <c r="CO50" i="11" s="1"/>
  <c r="AP50" i="11"/>
  <c r="BI55" i="11"/>
  <c r="BP55" i="11" s="1"/>
  <c r="AQ65" i="11"/>
  <c r="F67" i="18" s="1"/>
  <c r="CD61" i="11"/>
  <c r="CG61" i="11"/>
  <c r="CJ61" i="11" s="1"/>
  <c r="CQ61" i="11" s="1"/>
  <c r="AV22" i="11"/>
  <c r="BH22" i="11" s="1"/>
  <c r="BU22" i="11" s="1"/>
  <c r="AK22" i="11"/>
  <c r="CI48" i="11"/>
  <c r="CP48" i="11" s="1"/>
  <c r="AP58" i="11"/>
  <c r="CH58" i="11"/>
  <c r="CO58" i="11" s="1"/>
  <c r="AV56" i="11"/>
  <c r="BH56" i="11" s="1"/>
  <c r="BU56" i="11" s="1"/>
  <c r="CG56" i="11" s="1"/>
  <c r="AK56" i="11"/>
  <c r="BR5" i="11"/>
  <c r="CJ5" i="11"/>
  <c r="CQ5" i="11" s="1"/>
  <c r="BJ12" i="11"/>
  <c r="BQ12" i="11" s="1"/>
  <c r="CJ20" i="11"/>
  <c r="CQ20" i="11" s="1"/>
  <c r="BP27" i="11"/>
  <c r="CH27" i="11"/>
  <c r="CO27" i="11" s="1"/>
  <c r="AP26" i="11"/>
  <c r="BI26" i="11"/>
  <c r="BP26" i="11" s="1"/>
  <c r="CB31" i="11"/>
  <c r="CE31" i="11" s="1"/>
  <c r="CH31" i="11" s="1"/>
  <c r="CO31" i="11" s="1"/>
  <c r="CH71" i="11"/>
  <c r="CO71" i="11" s="1"/>
  <c r="AP71" i="11"/>
  <c r="AV71" i="11"/>
  <c r="BH71" i="11" s="1"/>
  <c r="BU71" i="11" s="1"/>
  <c r="CG71" i="11" s="1"/>
  <c r="AK71" i="11"/>
  <c r="CJ23" i="11"/>
  <c r="CQ23" i="11" s="1"/>
  <c r="CC45" i="11"/>
  <c r="CF45" i="11" s="1"/>
  <c r="CI45" i="11" s="1"/>
  <c r="CP45" i="11" s="1"/>
  <c r="AV45" i="11"/>
  <c r="BH45" i="11" s="1"/>
  <c r="BU45" i="11" s="1"/>
  <c r="AK45" i="11"/>
  <c r="BI22" i="11"/>
  <c r="BP22" i="11" s="1"/>
  <c r="BR64" i="11" l="1"/>
  <c r="CJ64" i="11"/>
  <c r="CQ64" i="11" s="1"/>
  <c r="BP45" i="11"/>
  <c r="CH45" i="11"/>
  <c r="CO45" i="11" s="1"/>
  <c r="BQ55" i="11"/>
  <c r="CI55" i="11"/>
  <c r="CP55" i="11" s="1"/>
  <c r="BR7" i="11"/>
  <c r="CJ7" i="11"/>
  <c r="CQ7" i="11" s="1"/>
  <c r="CJ13" i="11"/>
  <c r="CQ13" i="11" s="1"/>
  <c r="BP68" i="11"/>
  <c r="CC55" i="11"/>
  <c r="CF55" i="11"/>
  <c r="BP62" i="11"/>
  <c r="CH62" i="11"/>
  <c r="CO62" i="11" s="1"/>
  <c r="BP46" i="11"/>
  <c r="CH46" i="11"/>
  <c r="CO46" i="11" s="1"/>
  <c r="BQ42" i="11"/>
  <c r="CI42" i="11"/>
  <c r="CP42" i="11" s="1"/>
  <c r="CB68" i="11"/>
  <c r="CE68" i="11"/>
  <c r="CH68" i="11" s="1"/>
  <c r="CO68" i="11" s="1"/>
  <c r="BQ47" i="11"/>
  <c r="CI47" i="11"/>
  <c r="CP47" i="11" s="1"/>
  <c r="BP74" i="11"/>
  <c r="CH74" i="11"/>
  <c r="CO74" i="11" s="1"/>
  <c r="CD65" i="11"/>
  <c r="CG65" i="11"/>
  <c r="CJ65" i="11" s="1"/>
  <c r="CQ65" i="11" s="1"/>
  <c r="BP20" i="11"/>
  <c r="CH20" i="11"/>
  <c r="CO20" i="11" s="1"/>
  <c r="BR17" i="11"/>
  <c r="CJ17" i="11"/>
  <c r="CQ17" i="11" s="1"/>
  <c r="BP11" i="11"/>
  <c r="CH11" i="11"/>
  <c r="CO11" i="11" s="1"/>
  <c r="BP47" i="11"/>
  <c r="CH47" i="11"/>
  <c r="CO47" i="11" s="1"/>
  <c r="BK55" i="11"/>
  <c r="BR55" i="11" s="1"/>
  <c r="BP35" i="11"/>
  <c r="CH35" i="11"/>
  <c r="CO35" i="11" s="1"/>
  <c r="BP9" i="11"/>
  <c r="CH9" i="11"/>
  <c r="CO9" i="11" s="1"/>
  <c r="BP19" i="11"/>
  <c r="CH19" i="11"/>
  <c r="CO19" i="11" s="1"/>
  <c r="BP14" i="11"/>
  <c r="CH14" i="11"/>
  <c r="CO14" i="11" s="1"/>
  <c r="BK11" i="11"/>
  <c r="BR11" i="11" s="1"/>
  <c r="BQ56" i="11"/>
  <c r="CI56" i="11"/>
  <c r="CP56" i="11" s="1"/>
  <c r="BR70" i="11"/>
  <c r="CJ70" i="11"/>
  <c r="CQ70" i="11" s="1"/>
  <c r="BK37" i="11"/>
  <c r="BR37" i="11" s="1"/>
  <c r="BK34" i="11"/>
  <c r="BR34" i="11" s="1"/>
  <c r="BK52" i="11"/>
  <c r="BR52" i="11" s="1"/>
  <c r="CJ30" i="11"/>
  <c r="CQ30" i="11" s="1"/>
  <c r="CJ11" i="11"/>
  <c r="CQ11" i="11" s="1"/>
  <c r="BK16" i="11"/>
  <c r="BR16" i="11" s="1"/>
  <c r="BK45" i="11"/>
  <c r="BR45" i="11" s="1"/>
  <c r="BK66" i="11"/>
  <c r="BR66" i="11" s="1"/>
  <c r="N76" i="12"/>
  <c r="Q4" i="12"/>
  <c r="Q76" i="12" s="1"/>
  <c r="CJ52" i="11"/>
  <c r="CQ52" i="11" s="1"/>
  <c r="CJ57" i="11"/>
  <c r="CQ57" i="11" s="1"/>
  <c r="BK31" i="11"/>
  <c r="BR31" i="11" s="1"/>
  <c r="CI49" i="11"/>
  <c r="CP49" i="11" s="1"/>
  <c r="CJ12" i="11"/>
  <c r="CQ12" i="11" s="1"/>
  <c r="BK25" i="11"/>
  <c r="BR25" i="11" s="1"/>
  <c r="BK27" i="11"/>
  <c r="BR27" i="11" s="1"/>
  <c r="CD36" i="11"/>
  <c r="CG36" i="11" s="1"/>
  <c r="AP76" i="11"/>
  <c r="BK56" i="11"/>
  <c r="BR56" i="11" s="1"/>
  <c r="AK76" i="11"/>
  <c r="CH37" i="11"/>
  <c r="CO37" i="11" s="1"/>
  <c r="BK54" i="11"/>
  <c r="BR54" i="11" s="1"/>
  <c r="BK49" i="11"/>
  <c r="BR49" i="11" s="1"/>
  <c r="BK36" i="11"/>
  <c r="BR36" i="11" s="1"/>
  <c r="BK51" i="11"/>
  <c r="BR51" i="11" s="1"/>
  <c r="CJ66" i="11"/>
  <c r="CQ66" i="11" s="1"/>
  <c r="AV76" i="11"/>
  <c r="CD14" i="11"/>
  <c r="CG14" i="11" s="1"/>
  <c r="CD22" i="11"/>
  <c r="CG22" i="11" s="1"/>
  <c r="CJ22" i="11" s="1"/>
  <c r="CQ22" i="11" s="1"/>
  <c r="CH22" i="11"/>
  <c r="CO22" i="11" s="1"/>
  <c r="CD45" i="11"/>
  <c r="CG45" i="11" s="1"/>
  <c r="BK71" i="11"/>
  <c r="BR71" i="11" s="1"/>
  <c r="BK22" i="11"/>
  <c r="BR22" i="11" s="1"/>
  <c r="BK50" i="11"/>
  <c r="BR50" i="11" s="1"/>
  <c r="BP17" i="11"/>
  <c r="CH17" i="11"/>
  <c r="CO17" i="11" s="1"/>
  <c r="AJ76" i="11"/>
  <c r="AQ4" i="11"/>
  <c r="CD59" i="11"/>
  <c r="CG59" i="11" s="1"/>
  <c r="CJ59" i="11" s="1"/>
  <c r="CQ59" i="11" s="1"/>
  <c r="CJ73" i="11"/>
  <c r="CQ73" i="11" s="1"/>
  <c r="CJ37" i="11"/>
  <c r="CQ37" i="11" s="1"/>
  <c r="BK39" i="11"/>
  <c r="BR39" i="11" s="1"/>
  <c r="CD31" i="11"/>
  <c r="CG31" i="11" s="1"/>
  <c r="CJ31" i="11" s="1"/>
  <c r="CQ31" i="11" s="1"/>
  <c r="CD16" i="11"/>
  <c r="CG16" i="11" s="1"/>
  <c r="CJ16" i="11" s="1"/>
  <c r="CQ16" i="11" s="1"/>
  <c r="CB76" i="11"/>
  <c r="BP52" i="11"/>
  <c r="CH52" i="11"/>
  <c r="CO52" i="11" s="1"/>
  <c r="BK58" i="11"/>
  <c r="BR58" i="11" s="1"/>
  <c r="CI75" i="11"/>
  <c r="CP75" i="11" s="1"/>
  <c r="CD40" i="11"/>
  <c r="CG40" i="11" s="1"/>
  <c r="CJ40" i="11" s="1"/>
  <c r="CQ40" i="11" s="1"/>
  <c r="CD34" i="11"/>
  <c r="CG34" i="11" s="1"/>
  <c r="CJ34" i="11" s="1"/>
  <c r="CQ34" i="11" s="1"/>
  <c r="BQ69" i="11"/>
  <c r="CI69" i="11"/>
  <c r="CP69" i="11" s="1"/>
  <c r="CD55" i="11"/>
  <c r="CG55" i="11"/>
  <c r="CJ55" i="11" s="1"/>
  <c r="CQ55" i="11" s="1"/>
  <c r="BK14" i="11"/>
  <c r="BR14" i="11" s="1"/>
  <c r="CJ71" i="11"/>
  <c r="CQ71" i="11" s="1"/>
  <c r="CH26" i="11"/>
  <c r="CO26" i="11" s="1"/>
  <c r="CC64" i="11"/>
  <c r="CF64" i="11" s="1"/>
  <c r="CI64" i="11" s="1"/>
  <c r="CP64" i="11" s="1"/>
  <c r="BQ36" i="11"/>
  <c r="CI36" i="11"/>
  <c r="CP36" i="11" s="1"/>
  <c r="CJ46" i="11"/>
  <c r="CQ46" i="11" s="1"/>
  <c r="BR35" i="11"/>
  <c r="CJ35" i="11"/>
  <c r="CQ35" i="11" s="1"/>
  <c r="CJ8" i="11"/>
  <c r="CQ8" i="11" s="1"/>
  <c r="CE76" i="11"/>
  <c r="CH4" i="11"/>
  <c r="BK26" i="11"/>
  <c r="BR26" i="11" s="1"/>
  <c r="BI76" i="11"/>
  <c r="BQ62" i="11"/>
  <c r="CI62" i="11"/>
  <c r="CP62" i="11" s="1"/>
  <c r="BK43" i="11"/>
  <c r="BR43" i="11" s="1"/>
  <c r="CJ47" i="11"/>
  <c r="CQ47" i="11" s="1"/>
  <c r="CD50" i="11"/>
  <c r="CG50" i="11" s="1"/>
  <c r="CJ50" i="11" s="1"/>
  <c r="CQ50" i="11" s="1"/>
  <c r="CJ6" i="11"/>
  <c r="CQ6" i="11" s="1"/>
  <c r="AU76" i="11"/>
  <c r="BG4" i="11"/>
  <c r="BK42" i="11"/>
  <c r="BR42" i="11" s="1"/>
  <c r="BK44" i="11"/>
  <c r="BR44" i="11" s="1"/>
  <c r="CI12" i="11"/>
  <c r="CP12" i="11" s="1"/>
  <c r="BH76" i="11"/>
  <c r="BU4" i="11"/>
  <c r="BK4" i="11"/>
  <c r="CJ43" i="11"/>
  <c r="CQ43" i="11" s="1"/>
  <c r="CH55" i="11"/>
  <c r="CO55" i="11" s="1"/>
  <c r="CJ26" i="11" l="1"/>
  <c r="CQ26" i="11" s="1"/>
  <c r="CJ56" i="11"/>
  <c r="CQ56" i="11" s="1"/>
  <c r="AQ76" i="11"/>
  <c r="F6" i="18"/>
  <c r="CJ51" i="11"/>
  <c r="CQ51" i="11" s="1"/>
  <c r="CJ45" i="11"/>
  <c r="CQ45" i="11" s="1"/>
  <c r="CJ36" i="11"/>
  <c r="CQ36" i="11" s="1"/>
  <c r="R4" i="12"/>
  <c r="CJ49" i="11"/>
  <c r="CQ49" i="11" s="1"/>
  <c r="CJ27" i="11"/>
  <c r="CQ27" i="11" s="1"/>
  <c r="CJ14" i="11"/>
  <c r="CQ14" i="11" s="1"/>
  <c r="CJ25" i="11"/>
  <c r="CQ25" i="11" s="1"/>
  <c r="CJ54" i="11"/>
  <c r="CQ54" i="11" s="1"/>
  <c r="BG76" i="11"/>
  <c r="BT4" i="11"/>
  <c r="BJ4" i="11"/>
  <c r="CH76" i="11"/>
  <c r="CO4" i="11"/>
  <c r="CO76" i="11" s="1"/>
  <c r="CJ42" i="11"/>
  <c r="CQ42" i="11" s="1"/>
  <c r="CJ39" i="11"/>
  <c r="CQ39" i="11" s="1"/>
  <c r="BK76" i="11"/>
  <c r="BR4" i="11"/>
  <c r="BR76" i="11" s="1"/>
  <c r="CJ58" i="11"/>
  <c r="CQ58" i="11" s="1"/>
  <c r="BU76" i="11"/>
  <c r="CD4" i="11"/>
  <c r="CD76" i="11" s="1"/>
  <c r="CJ44" i="11"/>
  <c r="CQ44" i="11" s="1"/>
  <c r="BP76" i="11"/>
  <c r="F78" i="18" l="1"/>
  <c r="F80" i="18" s="1"/>
  <c r="M20" i="13" s="1"/>
  <c r="R76" i="12"/>
  <c r="T4" i="12"/>
  <c r="BJ76" i="11"/>
  <c r="BQ4" i="11"/>
  <c r="BQ76" i="11" s="1"/>
  <c r="CG4" i="11"/>
  <c r="BT76" i="11"/>
  <c r="CC4" i="11"/>
  <c r="CC76" i="11" s="1"/>
  <c r="N20" i="13" l="1"/>
  <c r="T76" i="12"/>
  <c r="W4" i="12"/>
  <c r="W76" i="12" s="1"/>
  <c r="CG76" i="11"/>
  <c r="CJ4" i="11"/>
  <c r="CF4" i="11"/>
  <c r="X4" i="12" l="1"/>
  <c r="X76" i="12" s="1"/>
  <c r="CF76" i="11"/>
  <c r="CI4" i="11"/>
  <c r="CJ76" i="11"/>
  <c r="CQ4" i="11"/>
  <c r="CQ76" i="11" s="1"/>
  <c r="CI76" i="11" l="1"/>
  <c r="CP4" i="11"/>
  <c r="CP76" i="11" s="1"/>
  <c r="I6" i="13" l="1"/>
  <c r="B45" i="13" s="1"/>
  <c r="I4" i="13"/>
  <c r="I5" i="13"/>
  <c r="B17" i="13" s="1"/>
  <c r="M18" i="13" l="1"/>
  <c r="C6" i="13" s="1"/>
  <c r="B45" i="15"/>
  <c r="B54" i="15"/>
  <c r="B20" i="15"/>
  <c r="B32" i="15"/>
  <c r="B32" i="13"/>
  <c r="B74" i="17" s="1"/>
  <c r="B52" i="15"/>
  <c r="B59" i="15"/>
  <c r="B43" i="15"/>
  <c r="B25" i="15"/>
  <c r="B28" i="17"/>
  <c r="B15" i="15"/>
  <c r="B69" i="15"/>
  <c r="B73" i="15"/>
  <c r="B53" i="15"/>
  <c r="B75" i="17"/>
  <c r="B61" i="15"/>
  <c r="C49" i="17"/>
  <c r="D40" i="17"/>
  <c r="H15" i="17"/>
  <c r="C34" i="17"/>
  <c r="H61" i="17"/>
  <c r="F6" i="17"/>
  <c r="C17" i="17"/>
  <c r="E32" i="17"/>
  <c r="C50" i="17"/>
  <c r="G62" i="17"/>
  <c r="H16" i="17"/>
  <c r="D54" i="17"/>
  <c r="H57" i="17"/>
  <c r="F48" i="17"/>
  <c r="E58" i="17"/>
  <c r="G37" i="17"/>
  <c r="G23" i="17"/>
  <c r="F2" i="17"/>
  <c r="G5" i="17"/>
  <c r="D16" i="17"/>
  <c r="G21" i="17"/>
  <c r="F62" i="17"/>
  <c r="C73" i="17"/>
  <c r="G38" i="17"/>
  <c r="H68" i="17"/>
  <c r="E15" i="17"/>
  <c r="H7" i="17"/>
  <c r="H52" i="17"/>
  <c r="G26" i="17"/>
  <c r="H38" i="17"/>
  <c r="E10" i="17"/>
  <c r="E35" i="17"/>
  <c r="G59" i="17"/>
  <c r="H60" i="17"/>
  <c r="F10" i="17"/>
  <c r="E46" i="17"/>
  <c r="C56" i="17"/>
  <c r="G63" i="17"/>
  <c r="C74" i="17"/>
  <c r="H37" i="17"/>
  <c r="E48" i="17"/>
  <c r="H53" i="17"/>
  <c r="F23" i="17"/>
  <c r="C58" i="17"/>
  <c r="E7" i="17"/>
  <c r="H29" i="17"/>
  <c r="H44" i="17"/>
  <c r="D56" i="17"/>
  <c r="G6" i="17"/>
  <c r="F20" i="17"/>
  <c r="H32" i="17"/>
  <c r="D55" i="17"/>
  <c r="C23" i="17"/>
  <c r="G71" i="17"/>
  <c r="H21" i="17"/>
  <c r="G16" i="17"/>
  <c r="D2" i="17"/>
  <c r="F38" i="17"/>
  <c r="H36" i="17"/>
  <c r="G13" i="17"/>
  <c r="D24" i="17"/>
  <c r="F39" i="17"/>
  <c r="D48" i="17"/>
  <c r="H5" i="17"/>
  <c r="D17" i="17"/>
  <c r="G61" i="17"/>
  <c r="D38" i="17"/>
  <c r="G42" i="17"/>
  <c r="G47" i="17"/>
  <c r="H50" i="17"/>
  <c r="F58" i="17"/>
  <c r="H22" i="17"/>
  <c r="F36" i="17"/>
  <c r="H40" i="17"/>
  <c r="E68" i="17"/>
  <c r="E47" i="17"/>
  <c r="C65" i="17"/>
  <c r="C66" i="17"/>
  <c r="C33" i="17"/>
  <c r="F41" i="17"/>
  <c r="H45" i="17"/>
  <c r="C2" i="17"/>
  <c r="F22" i="17"/>
  <c r="D9" i="17"/>
  <c r="F65" i="17"/>
  <c r="C57" i="17"/>
  <c r="D8" i="17"/>
  <c r="H30" i="17"/>
  <c r="C62" i="17"/>
  <c r="F34" i="17"/>
  <c r="E61" i="17"/>
  <c r="E69" i="17"/>
  <c r="G9" i="17"/>
  <c r="H12" i="17"/>
  <c r="E23" i="17"/>
  <c r="H28" i="17"/>
  <c r="G69" i="17"/>
  <c r="C9" i="17"/>
  <c r="F14" i="17"/>
  <c r="H55" i="17"/>
  <c r="G54" i="17"/>
  <c r="F70" i="17"/>
  <c r="H39" i="17"/>
  <c r="C26" i="17"/>
  <c r="E2" i="17"/>
  <c r="G17" i="17"/>
  <c r="D70" i="17"/>
  <c r="C7" i="17"/>
  <c r="H70" i="17"/>
  <c r="D11" i="17"/>
  <c r="F19" i="17"/>
  <c r="G31" i="17"/>
  <c r="D67" i="17"/>
  <c r="D28" i="17"/>
  <c r="H63" i="17"/>
  <c r="F55" i="17"/>
  <c r="F9" i="17"/>
  <c r="G30" i="17"/>
  <c r="D41" i="17"/>
  <c r="G46" i="17"/>
  <c r="E55" i="17"/>
  <c r="H31" i="17"/>
  <c r="F31" i="17"/>
  <c r="F54" i="17"/>
  <c r="D72" i="17"/>
  <c r="H47" i="17"/>
  <c r="F27" i="17"/>
  <c r="F17" i="17"/>
  <c r="G52" i="17"/>
  <c r="G57" i="17"/>
  <c r="D45" i="17"/>
  <c r="G75" i="17"/>
  <c r="G25" i="17"/>
  <c r="G72" i="17"/>
  <c r="G45" i="17"/>
  <c r="B2" i="17"/>
  <c r="H20" i="17"/>
  <c r="E31" i="17"/>
  <c r="G29" i="17"/>
  <c r="E16" i="17"/>
  <c r="G32" i="17"/>
  <c r="E71" i="17"/>
  <c r="H2" i="17"/>
  <c r="F30" i="17"/>
  <c r="G40" i="17"/>
  <c r="E66" i="17"/>
  <c r="G56" i="17"/>
  <c r="G28" i="17"/>
  <c r="H74" i="17"/>
  <c r="G22" i="17"/>
  <c r="F13" i="17"/>
  <c r="F35" i="17"/>
  <c r="F40" i="17"/>
  <c r="E42" i="17"/>
  <c r="E27" i="17"/>
  <c r="F21" i="17"/>
  <c r="G53" i="17"/>
  <c r="F74" i="17"/>
  <c r="H35" i="17"/>
  <c r="E62" i="17"/>
  <c r="F56" i="17"/>
  <c r="D53" i="17"/>
  <c r="C68" i="17"/>
  <c r="E11" i="17"/>
  <c r="C38" i="17"/>
  <c r="C14" i="17"/>
  <c r="D50" i="17"/>
  <c r="F72" i="17"/>
  <c r="H19" i="17"/>
  <c r="E19" i="17"/>
  <c r="E40" i="17"/>
  <c r="H75" i="17"/>
  <c r="G70" i="17"/>
  <c r="D66" i="17"/>
  <c r="E44" i="17"/>
  <c r="G58" i="17"/>
  <c r="E72" i="17"/>
  <c r="C40" i="17"/>
  <c r="F69" i="17"/>
  <c r="C67" i="17"/>
  <c r="E29" i="17"/>
  <c r="H42" i="17"/>
  <c r="H14" i="17"/>
  <c r="G20" i="17"/>
  <c r="E56" i="17"/>
  <c r="C42" i="17"/>
  <c r="G74" i="17"/>
  <c r="C15" i="17"/>
  <c r="G44" i="17"/>
  <c r="F64" i="17"/>
  <c r="G14" i="17"/>
  <c r="D30" i="17"/>
  <c r="G39" i="17"/>
  <c r="D5" i="17"/>
  <c r="E43" i="17"/>
  <c r="D73" i="17"/>
  <c r="F75" i="17"/>
  <c r="D46" i="17"/>
  <c r="D26" i="17"/>
  <c r="C48" i="17"/>
  <c r="C37" i="17"/>
  <c r="E59" i="17"/>
  <c r="C52" i="17"/>
  <c r="D62" i="17"/>
  <c r="F57" i="17"/>
  <c r="D37" i="17"/>
  <c r="D32" i="17"/>
  <c r="C53" i="17"/>
  <c r="H27" i="17"/>
  <c r="H18" i="17"/>
  <c r="C35" i="17"/>
  <c r="D22" i="17"/>
  <c r="E50" i="17"/>
  <c r="C61" i="17"/>
  <c r="F33" i="17"/>
  <c r="E54" i="17"/>
  <c r="H72" i="17"/>
  <c r="G65" i="17"/>
  <c r="H24" i="17"/>
  <c r="C12" i="17"/>
  <c r="C51" i="17"/>
  <c r="E37" i="17"/>
  <c r="E27" i="13"/>
  <c r="B4" i="17"/>
  <c r="B40" i="17"/>
  <c r="F28" i="17"/>
  <c r="E41" i="17"/>
  <c r="E51" i="17"/>
  <c r="G15" i="17"/>
  <c r="D35" i="17"/>
  <c r="G33" i="17"/>
  <c r="C54" i="17"/>
  <c r="C39" i="17"/>
  <c r="G2" i="17"/>
  <c r="E9" i="17"/>
  <c r="D51" i="17"/>
  <c r="C13" i="17"/>
  <c r="D13" i="17"/>
  <c r="H34" i="17"/>
  <c r="C71" i="17"/>
  <c r="D10" i="17"/>
  <c r="E14" i="17"/>
  <c r="H73" i="17"/>
  <c r="D33" i="17"/>
  <c r="E64" i="17"/>
  <c r="D43" i="17"/>
  <c r="D18" i="17"/>
  <c r="E45" i="17"/>
  <c r="H17" i="17"/>
  <c r="D64" i="17"/>
  <c r="D65" i="17"/>
  <c r="C36" i="17"/>
  <c r="H48" i="17"/>
  <c r="C16" i="17"/>
  <c r="F11" i="17"/>
  <c r="D25" i="17"/>
  <c r="E13" i="17"/>
  <c r="H64" i="17"/>
  <c r="F67" i="17"/>
  <c r="G7" i="17"/>
  <c r="G4" i="17"/>
  <c r="E22" i="13"/>
  <c r="F68" i="17"/>
  <c r="E22" i="17"/>
  <c r="C55" i="17"/>
  <c r="G73" i="17"/>
  <c r="E20" i="17"/>
  <c r="F43" i="17"/>
  <c r="D34" i="17"/>
  <c r="F51" i="17"/>
  <c r="F46" i="17"/>
  <c r="E67" i="17"/>
  <c r="E36" i="17"/>
  <c r="H11" i="17"/>
  <c r="E49" i="17"/>
  <c r="G27" i="17"/>
  <c r="E12" i="17"/>
  <c r="E75" i="17"/>
  <c r="D23" i="17"/>
  <c r="D71" i="17"/>
  <c r="C43" i="17"/>
  <c r="E65" i="17"/>
  <c r="E28" i="17"/>
  <c r="D12" i="17"/>
  <c r="F49" i="17"/>
  <c r="D31" i="17"/>
  <c r="F63" i="17"/>
  <c r="C59" i="17"/>
  <c r="H59" i="17"/>
  <c r="H10" i="17"/>
  <c r="H71" i="17"/>
  <c r="G43" i="17"/>
  <c r="G48" i="17"/>
  <c r="E21" i="17"/>
  <c r="F52" i="17"/>
  <c r="C69" i="17"/>
  <c r="H33" i="17"/>
  <c r="C20" i="17"/>
  <c r="C47" i="17"/>
  <c r="F61" i="17"/>
  <c r="G67" i="17"/>
  <c r="F24" i="17"/>
  <c r="G12" i="17"/>
  <c r="C21" i="17"/>
  <c r="D29" i="17"/>
  <c r="F7" i="17"/>
  <c r="D63" i="17"/>
  <c r="F32" i="17"/>
  <c r="D7" i="17"/>
  <c r="D36" i="17"/>
  <c r="E63" i="17"/>
  <c r="D61" i="17"/>
  <c r="C8" i="17"/>
  <c r="C19" i="17"/>
  <c r="F5" i="17"/>
  <c r="H25" i="17"/>
  <c r="D52" i="17"/>
  <c r="F15" i="17"/>
  <c r="C24" i="17"/>
  <c r="H56" i="17"/>
  <c r="G51" i="17"/>
  <c r="C25" i="17"/>
  <c r="H41" i="17"/>
  <c r="F47" i="17"/>
  <c r="E26" i="17"/>
  <c r="F73" i="17"/>
  <c r="E34" i="17"/>
  <c r="F59" i="17"/>
  <c r="H6" i="17"/>
  <c r="D49" i="17"/>
  <c r="G55" i="17"/>
  <c r="G64" i="17"/>
  <c r="E28" i="13"/>
  <c r="H46" i="17"/>
  <c r="F50" i="17"/>
  <c r="E18" i="17"/>
  <c r="D19" i="17"/>
  <c r="F18" i="17"/>
  <c r="E52" i="17"/>
  <c r="C72" i="17"/>
  <c r="E57" i="17"/>
  <c r="F8" i="17"/>
  <c r="C46" i="17"/>
  <c r="F26" i="17"/>
  <c r="C32" i="17"/>
  <c r="E70" i="17"/>
  <c r="H13" i="17"/>
  <c r="E73" i="17"/>
  <c r="H51" i="17"/>
  <c r="H65" i="17"/>
  <c r="C70" i="17"/>
  <c r="G36" i="17"/>
  <c r="D47" i="17"/>
  <c r="D74" i="17"/>
  <c r="H26" i="17"/>
  <c r="G66" i="17"/>
  <c r="G24" i="17"/>
  <c r="D57" i="17"/>
  <c r="F29" i="17"/>
  <c r="C11" i="17"/>
  <c r="C31" i="17"/>
  <c r="G10" i="17"/>
  <c r="F44" i="17"/>
  <c r="G41" i="17"/>
  <c r="E74" i="17"/>
  <c r="D69" i="17"/>
  <c r="G11" i="17"/>
  <c r="E6" i="17"/>
  <c r="E26" i="13"/>
  <c r="E23" i="13"/>
  <c r="G50" i="17"/>
  <c r="E53" i="17"/>
  <c r="C41" i="17"/>
  <c r="D59" i="17"/>
  <c r="F53" i="17"/>
  <c r="E33" i="17"/>
  <c r="C28" i="17"/>
  <c r="D44" i="17"/>
  <c r="F66" i="17"/>
  <c r="C6" i="17"/>
  <c r="E5" i="17"/>
  <c r="C27" i="17"/>
  <c r="F37" i="17"/>
  <c r="E39" i="17"/>
  <c r="D60" i="17"/>
  <c r="C22" i="17"/>
  <c r="E38" i="17"/>
  <c r="D42" i="17"/>
  <c r="F12" i="17"/>
  <c r="C30" i="17"/>
  <c r="D68" i="17"/>
  <c r="E8" i="17"/>
  <c r="H43" i="17"/>
  <c r="H8" i="17"/>
  <c r="D58" i="17"/>
  <c r="D75" i="17"/>
  <c r="C5" i="17"/>
  <c r="H62" i="17"/>
  <c r="D39" i="17"/>
  <c r="H49" i="17"/>
  <c r="G19" i="17"/>
  <c r="C10" i="17"/>
  <c r="C75" i="17"/>
  <c r="G68" i="17"/>
  <c r="F42" i="17"/>
  <c r="D4" i="17"/>
  <c r="H4" i="17"/>
  <c r="H67" i="17"/>
  <c r="C44" i="17"/>
  <c r="H69" i="17"/>
  <c r="F16" i="17"/>
  <c r="F60" i="17"/>
  <c r="D20" i="17"/>
  <c r="G60" i="17"/>
  <c r="D15" i="17"/>
  <c r="D14" i="17"/>
  <c r="E17" i="17"/>
  <c r="E60" i="17"/>
  <c r="H9" i="17"/>
  <c r="H66" i="17"/>
  <c r="F71" i="17"/>
  <c r="C60" i="17"/>
  <c r="E25" i="17"/>
  <c r="H58" i="17"/>
  <c r="C29" i="17"/>
  <c r="E24" i="17"/>
  <c r="D27" i="17"/>
  <c r="F45" i="17"/>
  <c r="F25" i="17"/>
  <c r="D21" i="17"/>
  <c r="G18" i="17"/>
  <c r="C45" i="17"/>
  <c r="C18" i="17"/>
  <c r="E30" i="17"/>
  <c r="G49" i="17"/>
  <c r="D6" i="17"/>
  <c r="H54" i="17"/>
  <c r="G35" i="17"/>
  <c r="G34" i="17"/>
  <c r="C64" i="17"/>
  <c r="H23" i="17"/>
  <c r="C63" i="17"/>
  <c r="E25" i="13"/>
  <c r="E24" i="13"/>
  <c r="B70" i="17"/>
  <c r="B44" i="17"/>
  <c r="B58" i="17"/>
  <c r="B36" i="17"/>
  <c r="B15" i="17"/>
  <c r="B55" i="17"/>
  <c r="B26" i="17"/>
  <c r="B63" i="17"/>
  <c r="B12" i="17"/>
  <c r="B41" i="17"/>
  <c r="B51" i="17"/>
  <c r="B23" i="17"/>
  <c r="B11" i="17"/>
  <c r="B10" i="17"/>
  <c r="B61" i="17"/>
  <c r="B47" i="17"/>
  <c r="B65" i="17"/>
  <c r="E4" i="17"/>
  <c r="B37" i="17"/>
  <c r="B56" i="17"/>
  <c r="B21" i="17"/>
  <c r="B48" i="17"/>
  <c r="B49" i="17"/>
  <c r="B18" i="17"/>
  <c r="B34" i="17"/>
  <c r="F4" i="17"/>
  <c r="B46" i="17"/>
  <c r="B29" i="17"/>
  <c r="B53" i="17"/>
  <c r="B71" i="17"/>
  <c r="B8" i="17"/>
  <c r="B19" i="17"/>
  <c r="B43" i="17"/>
  <c r="B39" i="17"/>
  <c r="B62" i="17"/>
  <c r="B9" i="17"/>
  <c r="B17" i="17"/>
  <c r="B22" i="17"/>
  <c r="B64" i="17"/>
  <c r="B33" i="17"/>
  <c r="B14" i="17"/>
  <c r="B32" i="17"/>
  <c r="B52" i="17"/>
  <c r="B74" i="15"/>
  <c r="B68" i="15"/>
  <c r="B57" i="15"/>
  <c r="K52" i="17"/>
  <c r="K60" i="17"/>
  <c r="K68" i="17"/>
  <c r="P66" i="17"/>
  <c r="O67" i="17"/>
  <c r="N68" i="17"/>
  <c r="M69" i="17"/>
  <c r="L70" i="17"/>
  <c r="J64" i="17"/>
  <c r="J72" i="17"/>
  <c r="M35" i="17"/>
  <c r="J75" i="17"/>
  <c r="P57" i="17"/>
  <c r="L61" i="17"/>
  <c r="O73" i="17"/>
  <c r="M11" i="17"/>
  <c r="N19" i="17"/>
  <c r="N51" i="17"/>
  <c r="J55" i="17"/>
  <c r="J6" i="17"/>
  <c r="M51" i="17"/>
  <c r="O42" i="17"/>
  <c r="O74" i="17"/>
  <c r="J7" i="17"/>
  <c r="P35" i="17"/>
  <c r="P43" i="17"/>
  <c r="O44" i="17"/>
  <c r="N45" i="17"/>
  <c r="M46" i="17"/>
  <c r="K40" i="17"/>
  <c r="K48" i="17"/>
  <c r="P27" i="17"/>
  <c r="O28" i="17"/>
  <c r="O36" i="17"/>
  <c r="N37" i="17"/>
  <c r="M38" i="17"/>
  <c r="L39" i="17"/>
  <c r="J33" i="17"/>
  <c r="J41" i="17"/>
  <c r="O21" i="17"/>
  <c r="N22" i="17"/>
  <c r="N30" i="17"/>
  <c r="M31" i="17"/>
  <c r="K25" i="17"/>
  <c r="J26" i="17"/>
  <c r="P29" i="17"/>
  <c r="P37" i="17"/>
  <c r="M24" i="17"/>
  <c r="L25" i="17"/>
  <c r="L33" i="17"/>
  <c r="K34" i="17"/>
  <c r="P30" i="17"/>
  <c r="O31" i="17"/>
  <c r="N32" i="17"/>
  <c r="M33" i="17"/>
  <c r="L21" i="17"/>
  <c r="K24" i="17"/>
  <c r="J18" i="17"/>
  <c r="J35" i="17"/>
  <c r="J52" i="17"/>
  <c r="P10" i="17"/>
  <c r="P56" i="17"/>
  <c r="L68" i="17"/>
  <c r="K71" i="17"/>
  <c r="J8" i="17"/>
  <c r="J58" i="17"/>
  <c r="M67" i="17"/>
  <c r="O66" i="17"/>
  <c r="O18" i="17"/>
  <c r="K22" i="17"/>
  <c r="L52" i="17"/>
  <c r="P2" i="17"/>
  <c r="M20" i="17"/>
  <c r="M12" i="17"/>
  <c r="J68" i="17"/>
  <c r="P8" i="17"/>
  <c r="K6" i="17"/>
  <c r="O41" i="17"/>
  <c r="N35" i="17"/>
  <c r="P48" i="17"/>
  <c r="N66" i="17"/>
  <c r="P51" i="17"/>
  <c r="O52" i="17"/>
  <c r="N53" i="17"/>
  <c r="L47" i="17"/>
  <c r="L55" i="17"/>
  <c r="J49" i="17"/>
  <c r="P36" i="17"/>
  <c r="P44" i="17"/>
  <c r="O45" i="17"/>
  <c r="M39" i="17"/>
  <c r="L40" i="17"/>
  <c r="K41" i="17"/>
  <c r="K49" i="17"/>
  <c r="P28" i="17"/>
  <c r="O29" i="17"/>
  <c r="O37" i="17"/>
  <c r="N38" i="17"/>
  <c r="L32" i="17"/>
  <c r="K33" i="17"/>
  <c r="J34" i="17"/>
  <c r="J42" i="17"/>
  <c r="O38" i="17"/>
  <c r="N39" i="17"/>
  <c r="N47" i="17"/>
  <c r="M48" i="17"/>
  <c r="K42" i="17"/>
  <c r="J43" i="17"/>
  <c r="P46" i="17"/>
  <c r="O47" i="17"/>
  <c r="L34" i="17"/>
  <c r="L42" i="17"/>
  <c r="L50" i="17"/>
  <c r="K51" i="17"/>
  <c r="P55" i="17"/>
  <c r="O56" i="17"/>
  <c r="N57" i="17"/>
  <c r="M58" i="17"/>
  <c r="P73" i="17"/>
  <c r="J25" i="17"/>
  <c r="P21" i="17"/>
  <c r="P38" i="17"/>
  <c r="P63" i="17"/>
  <c r="O11" i="17"/>
  <c r="L60" i="17"/>
  <c r="P33" i="17"/>
  <c r="M43" i="17"/>
  <c r="M75" i="17"/>
  <c r="J31" i="17"/>
  <c r="M44" i="17"/>
  <c r="J69" i="17"/>
  <c r="L12" i="17"/>
  <c r="L44" i="17"/>
  <c r="L20" i="17"/>
  <c r="J39" i="17"/>
  <c r="J62" i="17"/>
  <c r="K45" i="17"/>
  <c r="P59" i="17"/>
  <c r="O60" i="17"/>
  <c r="M54" i="17"/>
  <c r="M62" i="17"/>
  <c r="K56" i="17"/>
  <c r="J57" i="17"/>
  <c r="J65" i="17"/>
  <c r="P52" i="17"/>
  <c r="N46" i="17"/>
  <c r="M47" i="17"/>
  <c r="L48" i="17"/>
  <c r="L56" i="17"/>
  <c r="J50" i="17"/>
  <c r="P53" i="17"/>
  <c r="P61" i="17"/>
  <c r="O62" i="17"/>
  <c r="M56" i="17"/>
  <c r="L57" i="17"/>
  <c r="K58" i="17"/>
  <c r="K66" i="17"/>
  <c r="P45" i="17"/>
  <c r="O46" i="17"/>
  <c r="O54" i="17"/>
  <c r="N55" i="17"/>
  <c r="L49" i="17"/>
  <c r="K50" i="17"/>
  <c r="J51" i="17"/>
  <c r="P54" i="17"/>
  <c r="N48" i="17"/>
  <c r="N56" i="17"/>
  <c r="N64" i="17"/>
  <c r="M65" i="17"/>
  <c r="K59" i="17"/>
  <c r="M2" i="17"/>
  <c r="P71" i="17"/>
  <c r="O72" i="17"/>
  <c r="L59" i="17"/>
  <c r="L67" i="17"/>
  <c r="L75" i="17"/>
  <c r="J5" i="17"/>
  <c r="P74" i="17"/>
  <c r="O75" i="17"/>
  <c r="M5" i="17"/>
  <c r="L6" i="17"/>
  <c r="P75" i="17"/>
  <c r="O5" i="17"/>
  <c r="O22" i="17"/>
  <c r="O39" i="17"/>
  <c r="O64" i="17"/>
  <c r="N12" i="17"/>
  <c r="J70" i="17"/>
  <c r="N27" i="17"/>
  <c r="N67" i="17"/>
  <c r="M28" i="17"/>
  <c r="J74" i="17"/>
  <c r="O2" i="17"/>
  <c r="P67" i="17"/>
  <c r="N61" i="17"/>
  <c r="N69" i="17"/>
  <c r="L63" i="17"/>
  <c r="K64" i="17"/>
  <c r="K72" i="17"/>
  <c r="J73" i="17"/>
  <c r="O53" i="17"/>
  <c r="N54" i="17"/>
  <c r="M55" i="17"/>
  <c r="M63" i="17"/>
  <c r="K57" i="17"/>
  <c r="N2" i="17"/>
  <c r="J2" i="17"/>
  <c r="P69" i="17"/>
  <c r="N63" i="17"/>
  <c r="M64" i="17"/>
  <c r="L65" i="17"/>
  <c r="L73" i="17"/>
  <c r="P62" i="17"/>
  <c r="P70" i="17"/>
  <c r="O7" i="17"/>
  <c r="N8" i="17"/>
  <c r="M73" i="17"/>
  <c r="L74" i="17"/>
  <c r="K75" i="17"/>
  <c r="P15" i="17"/>
  <c r="O55" i="17"/>
  <c r="O63" i="17"/>
  <c r="O71" i="17"/>
  <c r="N72" i="17"/>
  <c r="L66" i="17"/>
  <c r="K67" i="17"/>
  <c r="P7" i="17"/>
  <c r="O8" i="17"/>
  <c r="N73" i="17"/>
  <c r="M10" i="17"/>
  <c r="M18" i="17"/>
  <c r="L19" i="17"/>
  <c r="J13" i="17"/>
  <c r="P18" i="17"/>
  <c r="O19" i="17"/>
  <c r="N20" i="17"/>
  <c r="K7" i="17"/>
  <c r="K15" i="17"/>
  <c r="J16" i="17"/>
  <c r="P24" i="17"/>
  <c r="L28" i="17"/>
  <c r="L45" i="17"/>
  <c r="O50" i="17"/>
  <c r="K54" i="17"/>
  <c r="O12" i="17"/>
  <c r="O13" i="17"/>
  <c r="O30" i="17"/>
  <c r="N40" i="17"/>
  <c r="N65" i="17"/>
  <c r="M13" i="17"/>
  <c r="N11" i="17"/>
  <c r="P41" i="17"/>
  <c r="M70" i="17"/>
  <c r="L71" i="17"/>
  <c r="K8" i="17"/>
  <c r="J9" i="17"/>
  <c r="P60" i="17"/>
  <c r="O61" i="17"/>
  <c r="N62" i="17"/>
  <c r="N70" i="17"/>
  <c r="L64" i="17"/>
  <c r="K65" i="17"/>
  <c r="K73" i="17"/>
  <c r="P5" i="17"/>
  <c r="O70" i="17"/>
  <c r="N71" i="17"/>
  <c r="M72" i="17"/>
  <c r="L9" i="17"/>
  <c r="K74" i="17"/>
  <c r="P6" i="17"/>
  <c r="P14" i="17"/>
  <c r="O15" i="17"/>
  <c r="M9" i="17"/>
  <c r="L10" i="17"/>
  <c r="K11" i="17"/>
  <c r="J12" i="17"/>
  <c r="O16" i="17"/>
  <c r="O24" i="17"/>
  <c r="O32" i="17"/>
  <c r="N33" i="17"/>
  <c r="L27" i="17"/>
  <c r="K28" i="17"/>
  <c r="J29" i="17"/>
  <c r="P34" i="17"/>
  <c r="N9" i="17"/>
  <c r="N17" i="17"/>
  <c r="N25" i="17"/>
  <c r="M26" i="17"/>
  <c r="K20" i="17"/>
  <c r="J21" i="17"/>
  <c r="P26" i="17"/>
  <c r="O27" i="17"/>
  <c r="M21" i="17"/>
  <c r="M29" i="17"/>
  <c r="L30" i="17"/>
  <c r="K31" i="17"/>
  <c r="J32" i="17"/>
  <c r="O17" i="17"/>
  <c r="K21" i="17"/>
  <c r="P16" i="17"/>
  <c r="J71" i="17"/>
  <c r="P32" i="17"/>
  <c r="L36" i="17"/>
  <c r="M59" i="17"/>
  <c r="L5" i="17"/>
  <c r="P40" i="17"/>
  <c r="P72" i="17"/>
  <c r="K5" i="17"/>
  <c r="N13" i="17"/>
  <c r="N14" i="17"/>
  <c r="N31" i="17"/>
  <c r="M41" i="17"/>
  <c r="M66" i="17"/>
  <c r="L14" i="17"/>
  <c r="O33" i="17"/>
  <c r="M71" i="17"/>
  <c r="L72" i="17"/>
  <c r="K9" i="17"/>
  <c r="J10" i="17"/>
  <c r="O6" i="17"/>
  <c r="N7" i="17"/>
  <c r="M8" i="17"/>
  <c r="M16" i="17"/>
  <c r="K10" i="17"/>
  <c r="J11" i="17"/>
  <c r="J19" i="17"/>
  <c r="P22" i="17"/>
  <c r="N16" i="17"/>
  <c r="M17" i="17"/>
  <c r="L18" i="17"/>
  <c r="K19" i="17"/>
  <c r="P23" i="17"/>
  <c r="P31" i="17"/>
  <c r="P39" i="17"/>
  <c r="O40" i="17"/>
  <c r="M34" i="17"/>
  <c r="L35" i="17"/>
  <c r="K36" i="17"/>
  <c r="J37" i="17"/>
  <c r="O35" i="17"/>
  <c r="O43" i="17"/>
  <c r="N44" i="17"/>
  <c r="M45" i="17"/>
  <c r="L46" i="17"/>
  <c r="K47" i="17"/>
  <c r="J48" i="17"/>
  <c r="N10" i="17"/>
  <c r="N28" i="17"/>
  <c r="N36" i="17"/>
  <c r="M37" i="17"/>
  <c r="L38" i="17"/>
  <c r="K39" i="17"/>
  <c r="J40" i="17"/>
  <c r="O49" i="17"/>
  <c r="K53" i="17"/>
  <c r="N43" i="17"/>
  <c r="N75" i="17"/>
  <c r="J66" i="17"/>
  <c r="O25" i="17"/>
  <c r="K29" i="17"/>
  <c r="L37" i="17"/>
  <c r="L69" i="17"/>
  <c r="M52" i="17"/>
  <c r="J38" i="17"/>
  <c r="L2" i="17"/>
  <c r="M60" i="17"/>
  <c r="P9" i="17"/>
  <c r="K2" i="17"/>
  <c r="O68" i="17"/>
  <c r="N5" i="17"/>
  <c r="K37" i="17"/>
  <c r="M14" i="17"/>
  <c r="M15" i="17"/>
  <c r="M32" i="17"/>
  <c r="M49" i="17"/>
  <c r="M74" i="17"/>
  <c r="L22" i="17"/>
  <c r="J15" i="17"/>
  <c r="L17" i="17"/>
  <c r="K18" i="17"/>
  <c r="K26" i="17"/>
  <c r="J27" i="17"/>
  <c r="O23" i="17"/>
  <c r="N24" i="17"/>
  <c r="M25" i="17"/>
  <c r="L26" i="17"/>
  <c r="J20" i="17"/>
  <c r="J28" i="17"/>
  <c r="J36" i="17"/>
  <c r="P47" i="17"/>
  <c r="N41" i="17"/>
  <c r="M42" i="17"/>
  <c r="L43" i="17"/>
  <c r="K44" i="17"/>
  <c r="P42" i="17"/>
  <c r="P50" i="17"/>
  <c r="O51" i="17"/>
  <c r="N52" i="17"/>
  <c r="M53" i="17"/>
  <c r="L54" i="17"/>
  <c r="K55" i="17"/>
  <c r="J56" i="17"/>
  <c r="J14" i="17"/>
  <c r="J46" i="17"/>
  <c r="J61" i="17"/>
  <c r="M68" i="17"/>
  <c r="L13" i="17"/>
  <c r="K61" i="17"/>
  <c r="J22" i="17"/>
  <c r="O58" i="17"/>
  <c r="N34" i="17"/>
  <c r="K13" i="17"/>
  <c r="M36" i="17"/>
  <c r="J67" i="17"/>
  <c r="O57" i="17"/>
  <c r="P65" i="17"/>
  <c r="O26" i="17"/>
  <c r="K30" i="17"/>
  <c r="O65" i="17"/>
  <c r="N26" i="17"/>
  <c r="J30" i="17"/>
  <c r="P49" i="17"/>
  <c r="L53" i="17"/>
  <c r="P11" i="17"/>
  <c r="P19" i="17"/>
  <c r="M6" i="17"/>
  <c r="L7" i="17"/>
  <c r="L15" i="17"/>
  <c r="K16" i="17"/>
  <c r="J17" i="17"/>
  <c r="P68" i="17"/>
  <c r="O69" i="17"/>
  <c r="N6" i="17"/>
  <c r="K69" i="17"/>
  <c r="M22" i="17"/>
  <c r="M23" i="17"/>
  <c r="M40" i="17"/>
  <c r="M57" i="17"/>
  <c r="L11" i="17"/>
  <c r="K23" i="17"/>
  <c r="J47" i="17"/>
  <c r="K27" i="17"/>
  <c r="K35" i="17"/>
  <c r="K43" i="17"/>
  <c r="J44" i="17"/>
  <c r="O48" i="17"/>
  <c r="N49" i="17"/>
  <c r="M50" i="17"/>
  <c r="L51" i="17"/>
  <c r="J45" i="17"/>
  <c r="J53" i="17"/>
  <c r="P58" i="17"/>
  <c r="O59" i="17"/>
  <c r="N60" i="17"/>
  <c r="M61" i="17"/>
  <c r="L62" i="17"/>
  <c r="K63" i="17"/>
  <c r="N42" i="17"/>
  <c r="N74" i="17"/>
  <c r="J63" i="17"/>
  <c r="P25" i="17"/>
  <c r="L29" i="17"/>
  <c r="N18" i="17"/>
  <c r="N50" i="17"/>
  <c r="J54" i="17"/>
  <c r="K62" i="17"/>
  <c r="J23" i="17"/>
  <c r="M27" i="17"/>
  <c r="M19" i="17"/>
  <c r="O34" i="17"/>
  <c r="K14" i="17"/>
  <c r="K46" i="17"/>
  <c r="J60" i="17"/>
  <c r="K70" i="17"/>
  <c r="O9" i="17"/>
  <c r="N58" i="17"/>
  <c r="J59" i="17"/>
  <c r="O10" i="17"/>
  <c r="N59" i="17"/>
  <c r="K38" i="17"/>
  <c r="O20" i="17"/>
  <c r="N21" i="17"/>
  <c r="N29" i="17"/>
  <c r="M30" i="17"/>
  <c r="L31" i="17"/>
  <c r="K32" i="17"/>
  <c r="P12" i="17"/>
  <c r="P20" i="17"/>
  <c r="M7" i="17"/>
  <c r="L8" i="17"/>
  <c r="L16" i="17"/>
  <c r="K17" i="17"/>
  <c r="P13" i="17"/>
  <c r="O14" i="17"/>
  <c r="N15" i="17"/>
  <c r="N23" i="17"/>
  <c r="P17" i="17"/>
  <c r="L23" i="17"/>
  <c r="L24" i="17"/>
  <c r="L41" i="17"/>
  <c r="L58" i="17"/>
  <c r="K12" i="17"/>
  <c r="J24" i="17"/>
  <c r="P64" i="17"/>
  <c r="J4" i="17"/>
  <c r="E35" i="13"/>
  <c r="E38" i="13"/>
  <c r="M4" i="17"/>
  <c r="N4" i="17"/>
  <c r="E36" i="13"/>
  <c r="E40" i="13"/>
  <c r="E37" i="13"/>
  <c r="E41" i="13"/>
  <c r="O4" i="17"/>
  <c r="L4" i="17"/>
  <c r="K4" i="17"/>
  <c r="E39" i="13"/>
  <c r="P4" i="17"/>
  <c r="B66" i="17"/>
  <c r="B68" i="17"/>
  <c r="B35" i="17"/>
  <c r="B42" i="15"/>
  <c r="B18" i="15"/>
  <c r="B16" i="17"/>
  <c r="B13" i="17"/>
  <c r="B29" i="15"/>
  <c r="C57" i="15"/>
  <c r="C18" i="15"/>
  <c r="C15" i="15"/>
  <c r="C27" i="15"/>
  <c r="C37" i="15"/>
  <c r="C29" i="15"/>
  <c r="C30" i="15"/>
  <c r="C32" i="15"/>
  <c r="E32" i="15" s="1"/>
  <c r="F31" i="14" s="1"/>
  <c r="C38" i="15"/>
  <c r="C65" i="15"/>
  <c r="C60" i="15"/>
  <c r="C23" i="15"/>
  <c r="C71" i="15"/>
  <c r="C28" i="15"/>
  <c r="C75" i="15"/>
  <c r="C56" i="15"/>
  <c r="C64" i="15"/>
  <c r="C45" i="15"/>
  <c r="E45" i="15" s="1"/>
  <c r="F44" i="14" s="1"/>
  <c r="E13" i="13"/>
  <c r="C47" i="15"/>
  <c r="C68" i="15"/>
  <c r="C5" i="15"/>
  <c r="C11" i="15"/>
  <c r="C33" i="15"/>
  <c r="C48" i="15"/>
  <c r="C46" i="15"/>
  <c r="C51" i="15"/>
  <c r="C26" i="15"/>
  <c r="B4" i="15"/>
  <c r="C66" i="15"/>
  <c r="C55" i="15"/>
  <c r="C9" i="15"/>
  <c r="C58" i="15"/>
  <c r="C16" i="15"/>
  <c r="C41" i="15"/>
  <c r="C2" i="15"/>
  <c r="C35" i="15"/>
  <c r="B2" i="15"/>
  <c r="C53" i="15"/>
  <c r="B10" i="15"/>
  <c r="C54" i="15"/>
  <c r="E54" i="15" s="1"/>
  <c r="F53" i="14" s="1"/>
  <c r="C25" i="15"/>
  <c r="C34" i="15"/>
  <c r="C21" i="15"/>
  <c r="C69" i="15"/>
  <c r="C59" i="15"/>
  <c r="C44" i="15"/>
  <c r="C36" i="15"/>
  <c r="C72" i="15"/>
  <c r="C62" i="15"/>
  <c r="C10" i="15"/>
  <c r="C20" i="15"/>
  <c r="C73" i="15"/>
  <c r="C13" i="15"/>
  <c r="C74" i="15"/>
  <c r="C49" i="15"/>
  <c r="C61" i="15"/>
  <c r="C39" i="15"/>
  <c r="C4" i="15"/>
  <c r="C6" i="15"/>
  <c r="C50" i="15"/>
  <c r="C42" i="15"/>
  <c r="C17" i="15"/>
  <c r="C40" i="15"/>
  <c r="C8" i="15"/>
  <c r="C14" i="15"/>
  <c r="C67" i="15"/>
  <c r="C43" i="15"/>
  <c r="C52" i="15"/>
  <c r="C70" i="15"/>
  <c r="C7" i="15"/>
  <c r="C24" i="15"/>
  <c r="C12" i="15"/>
  <c r="C19" i="15"/>
  <c r="C22" i="15"/>
  <c r="C31" i="15"/>
  <c r="C63" i="15"/>
  <c r="B71" i="15"/>
  <c r="E71" i="15" s="1"/>
  <c r="F70" i="14" s="1"/>
  <c r="B24" i="15"/>
  <c r="B40" i="15"/>
  <c r="E40" i="15" s="1"/>
  <c r="F39" i="14" s="1"/>
  <c r="B8" i="15"/>
  <c r="B23" i="15"/>
  <c r="B14" i="15"/>
  <c r="B30" i="15"/>
  <c r="E30" i="15" s="1"/>
  <c r="F29" i="14" s="1"/>
  <c r="B17" i="15"/>
  <c r="B75" i="15"/>
  <c r="E75" i="15" s="1"/>
  <c r="F74" i="14" s="1"/>
  <c r="B9" i="15"/>
  <c r="B16" i="15"/>
  <c r="B65" i="15"/>
  <c r="B55" i="15"/>
  <c r="E55" i="15" s="1"/>
  <c r="F54" i="14" s="1"/>
  <c r="B60" i="15"/>
  <c r="E60" i="15" s="1"/>
  <c r="F59" i="14" s="1"/>
  <c r="B36" i="15"/>
  <c r="E36" i="15" s="1"/>
  <c r="F35" i="14" s="1"/>
  <c r="B56" i="15"/>
  <c r="E12" i="13"/>
  <c r="B21" i="15"/>
  <c r="B63" i="15"/>
  <c r="E63" i="15" s="1"/>
  <c r="F62" i="14" s="1"/>
  <c r="B62" i="15"/>
  <c r="B38" i="15"/>
  <c r="B39" i="15"/>
  <c r="B13" i="15"/>
  <c r="B47" i="15"/>
  <c r="B33" i="15"/>
  <c r="B6" i="15"/>
  <c r="B19" i="15"/>
  <c r="B51" i="15"/>
  <c r="B44" i="15"/>
  <c r="E44" i="15" s="1"/>
  <c r="F43" i="14" s="1"/>
  <c r="B41" i="15"/>
  <c r="E41" i="15" s="1"/>
  <c r="F40" i="14" s="1"/>
  <c r="B58" i="15"/>
  <c r="B50" i="15"/>
  <c r="E50" i="15" s="1"/>
  <c r="F49" i="14" s="1"/>
  <c r="B34" i="15"/>
  <c r="B7" i="15"/>
  <c r="E7" i="15" s="1"/>
  <c r="F6" i="14" s="1"/>
  <c r="B20" i="17"/>
  <c r="B59" i="17"/>
  <c r="B42" i="17"/>
  <c r="R42" i="17" s="1"/>
  <c r="H41" i="14" s="1"/>
  <c r="B31" i="15"/>
  <c r="B28" i="15"/>
  <c r="B60" i="17"/>
  <c r="B26" i="15"/>
  <c r="E26" i="15" s="1"/>
  <c r="F25" i="14" s="1"/>
  <c r="B46" i="15"/>
  <c r="B67" i="15"/>
  <c r="B5" i="15"/>
  <c r="B38" i="17"/>
  <c r="B45" i="17"/>
  <c r="B64" i="15"/>
  <c r="B66" i="15"/>
  <c r="B70" i="15"/>
  <c r="C4" i="17"/>
  <c r="B54" i="17"/>
  <c r="B49" i="15"/>
  <c r="B35" i="15"/>
  <c r="E35" i="15" s="1"/>
  <c r="F34" i="14" s="1"/>
  <c r="B67" i="17"/>
  <c r="B37" i="15"/>
  <c r="E37" i="15" s="1"/>
  <c r="F36" i="14" s="1"/>
  <c r="B6" i="17"/>
  <c r="B25" i="17"/>
  <c r="B12" i="15"/>
  <c r="B27" i="17"/>
  <c r="B27" i="15"/>
  <c r="E27" i="15" s="1"/>
  <c r="F26" i="14" s="1"/>
  <c r="B72" i="15"/>
  <c r="B7" i="17"/>
  <c r="B22" i="15"/>
  <c r="B11" i="15"/>
  <c r="E11" i="15" s="1"/>
  <c r="F10" i="14" s="1"/>
  <c r="B48" i="15"/>
  <c r="B30" i="17"/>
  <c r="E66" i="15" l="1"/>
  <c r="F65" i="14" s="1"/>
  <c r="E5" i="15"/>
  <c r="F4" i="14" s="1"/>
  <c r="B57" i="17"/>
  <c r="E28" i="15"/>
  <c r="F27" i="14" s="1"/>
  <c r="E20" i="15"/>
  <c r="F19" i="14" s="1"/>
  <c r="E13" i="15"/>
  <c r="F12" i="14" s="1"/>
  <c r="B72" i="17"/>
  <c r="B73" i="17"/>
  <c r="R73" i="17" s="1"/>
  <c r="H72" i="14" s="1"/>
  <c r="G8" i="17"/>
  <c r="G76" i="17" s="1"/>
  <c r="B24" i="17"/>
  <c r="E72" i="15"/>
  <c r="F71" i="14" s="1"/>
  <c r="E38" i="15"/>
  <c r="F37" i="14" s="1"/>
  <c r="E8" i="15"/>
  <c r="F7" i="14" s="1"/>
  <c r="E12" i="15"/>
  <c r="F11" i="14" s="1"/>
  <c r="E48" i="15"/>
  <c r="F47" i="14" s="1"/>
  <c r="E17" i="15"/>
  <c r="F16" i="14" s="1"/>
  <c r="E64" i="15"/>
  <c r="F63" i="14" s="1"/>
  <c r="E58" i="15"/>
  <c r="F57" i="14" s="1"/>
  <c r="R59" i="17"/>
  <c r="H58" i="14" s="1"/>
  <c r="E62" i="15"/>
  <c r="F61" i="14" s="1"/>
  <c r="E65" i="15"/>
  <c r="F64" i="14" s="1"/>
  <c r="E16" i="15"/>
  <c r="F15" i="14" s="1"/>
  <c r="E19" i="15"/>
  <c r="F18" i="14" s="1"/>
  <c r="E46" i="15"/>
  <c r="F45" i="14" s="1"/>
  <c r="E39" i="15"/>
  <c r="F38" i="14" s="1"/>
  <c r="E31" i="15"/>
  <c r="F30" i="14" s="1"/>
  <c r="E70" i="15"/>
  <c r="F69" i="14" s="1"/>
  <c r="B50" i="17"/>
  <c r="R50" i="17" s="1"/>
  <c r="H49" i="14" s="1"/>
  <c r="B69" i="17"/>
  <c r="R69" i="17" s="1"/>
  <c r="H68" i="14" s="1"/>
  <c r="B31" i="17"/>
  <c r="B5" i="17"/>
  <c r="R5" i="17" s="1"/>
  <c r="H4" i="14" s="1"/>
  <c r="R66" i="17"/>
  <c r="H65" i="14" s="1"/>
  <c r="R54" i="17"/>
  <c r="H53" i="14" s="1"/>
  <c r="E23" i="15"/>
  <c r="F22" i="14" s="1"/>
  <c r="E49" i="15"/>
  <c r="F48" i="14" s="1"/>
  <c r="E6" i="15"/>
  <c r="F5" i="14" s="1"/>
  <c r="E21" i="15"/>
  <c r="F20" i="14" s="1"/>
  <c r="E9" i="15"/>
  <c r="F8" i="14" s="1"/>
  <c r="E33" i="15"/>
  <c r="F32" i="14" s="1"/>
  <c r="E47" i="15"/>
  <c r="F46" i="14" s="1"/>
  <c r="E56" i="15"/>
  <c r="F55" i="14" s="1"/>
  <c r="R7" i="17"/>
  <c r="H6" i="14" s="1"/>
  <c r="R67" i="17"/>
  <c r="H66" i="14" s="1"/>
  <c r="R45" i="17"/>
  <c r="H44" i="14" s="1"/>
  <c r="R35" i="17"/>
  <c r="H34" i="14" s="1"/>
  <c r="R38" i="17"/>
  <c r="H37" i="14" s="1"/>
  <c r="R68" i="17"/>
  <c r="H67" i="14" s="1"/>
  <c r="R27" i="17"/>
  <c r="H26" i="14" s="1"/>
  <c r="R20" i="17"/>
  <c r="H19" i="14" s="1"/>
  <c r="P76" i="17"/>
  <c r="R30" i="17"/>
  <c r="H29" i="14" s="1"/>
  <c r="C76" i="17"/>
  <c r="R13" i="17"/>
  <c r="H12" i="14" s="1"/>
  <c r="K76" i="17"/>
  <c r="F76" i="17"/>
  <c r="E76" i="17"/>
  <c r="R16" i="17"/>
  <c r="H15" i="14" s="1"/>
  <c r="R6" i="17"/>
  <c r="H5" i="14" s="1"/>
  <c r="R60" i="17"/>
  <c r="H59" i="14" s="1"/>
  <c r="R25" i="17"/>
  <c r="H24" i="14" s="1"/>
  <c r="M76" i="17"/>
  <c r="O76" i="17"/>
  <c r="E14" i="15"/>
  <c r="F13" i="14" s="1"/>
  <c r="E18" i="15"/>
  <c r="F17" i="14" s="1"/>
  <c r="E51" i="15"/>
  <c r="F50" i="14" s="1"/>
  <c r="E67" i="15"/>
  <c r="F66" i="14" s="1"/>
  <c r="E10" i="15"/>
  <c r="F9" i="14" s="1"/>
  <c r="E34" i="15"/>
  <c r="F33" i="14" s="1"/>
  <c r="E22" i="15"/>
  <c r="F21" i="14" s="1"/>
  <c r="B76" i="15"/>
  <c r="E4" i="15"/>
  <c r="L76" i="17"/>
  <c r="R14" i="17"/>
  <c r="H13" i="14" s="1"/>
  <c r="R43" i="17"/>
  <c r="H42" i="14" s="1"/>
  <c r="R34" i="17"/>
  <c r="H33" i="14" s="1"/>
  <c r="R65" i="17"/>
  <c r="H64" i="14" s="1"/>
  <c r="R12" i="17"/>
  <c r="H11" i="14" s="1"/>
  <c r="R70" i="17"/>
  <c r="H69" i="14" s="1"/>
  <c r="E53" i="15"/>
  <c r="F52" i="14" s="1"/>
  <c r="R72" i="17"/>
  <c r="H71" i="14" s="1"/>
  <c r="E42" i="15"/>
  <c r="F41" i="14" s="1"/>
  <c r="E43" i="13"/>
  <c r="F43" i="13" s="1"/>
  <c r="R33" i="17"/>
  <c r="H32" i="14" s="1"/>
  <c r="R19" i="17"/>
  <c r="H18" i="14" s="1"/>
  <c r="R18" i="17"/>
  <c r="H17" i="14" s="1"/>
  <c r="R47" i="17"/>
  <c r="H46" i="14" s="1"/>
  <c r="R63" i="17"/>
  <c r="H62" i="14" s="1"/>
  <c r="E73" i="15"/>
  <c r="F72" i="14" s="1"/>
  <c r="C76" i="15"/>
  <c r="J76" i="17"/>
  <c r="R64" i="17"/>
  <c r="H63" i="14" s="1"/>
  <c r="R49" i="17"/>
  <c r="H48" i="14" s="1"/>
  <c r="R61" i="17"/>
  <c r="H60" i="14" s="1"/>
  <c r="R26" i="17"/>
  <c r="H25" i="14" s="1"/>
  <c r="R24" i="17"/>
  <c r="H23" i="14" s="1"/>
  <c r="R57" i="17"/>
  <c r="H56" i="14" s="1"/>
  <c r="E57" i="15"/>
  <c r="F56" i="14" s="1"/>
  <c r="R22" i="17"/>
  <c r="H21" i="14" s="1"/>
  <c r="R71" i="17"/>
  <c r="H70" i="14" s="1"/>
  <c r="R48" i="17"/>
  <c r="H47" i="14" s="1"/>
  <c r="R10" i="17"/>
  <c r="H9" i="14" s="1"/>
  <c r="R55" i="17"/>
  <c r="H54" i="14" s="1"/>
  <c r="E69" i="15"/>
  <c r="F68" i="14" s="1"/>
  <c r="E25" i="15"/>
  <c r="F24" i="14" s="1"/>
  <c r="F40" i="13"/>
  <c r="E68" i="15"/>
  <c r="F67" i="14" s="1"/>
  <c r="R17" i="17"/>
  <c r="H16" i="14" s="1"/>
  <c r="R53" i="17"/>
  <c r="H52" i="14" s="1"/>
  <c r="R21" i="17"/>
  <c r="H20" i="14" s="1"/>
  <c r="R11" i="17"/>
  <c r="H10" i="14" s="1"/>
  <c r="R15" i="17"/>
  <c r="H14" i="14" s="1"/>
  <c r="R40" i="17"/>
  <c r="H39" i="14" s="1"/>
  <c r="E15" i="15"/>
  <c r="F14" i="14" s="1"/>
  <c r="R74" i="17"/>
  <c r="H73" i="14" s="1"/>
  <c r="E29" i="15"/>
  <c r="F28" i="14" s="1"/>
  <c r="F36" i="13"/>
  <c r="E74" i="15"/>
  <c r="F73" i="14" s="1"/>
  <c r="R9" i="17"/>
  <c r="H8" i="14" s="1"/>
  <c r="R29" i="17"/>
  <c r="H28" i="14" s="1"/>
  <c r="R56" i="17"/>
  <c r="H55" i="14" s="1"/>
  <c r="R23" i="17"/>
  <c r="H22" i="14" s="1"/>
  <c r="R36" i="17"/>
  <c r="H35" i="14" s="1"/>
  <c r="R4" i="17"/>
  <c r="E43" i="15"/>
  <c r="F42" i="14" s="1"/>
  <c r="E24" i="15"/>
  <c r="F23" i="14" s="1"/>
  <c r="F39" i="13"/>
  <c r="N76" i="17"/>
  <c r="R52" i="17"/>
  <c r="H51" i="14" s="1"/>
  <c r="R62" i="17"/>
  <c r="H61" i="14" s="1"/>
  <c r="R46" i="17"/>
  <c r="H45" i="14" s="1"/>
  <c r="R37" i="17"/>
  <c r="H36" i="14" s="1"/>
  <c r="R51" i="17"/>
  <c r="H50" i="14" s="1"/>
  <c r="R58" i="17"/>
  <c r="H57" i="14" s="1"/>
  <c r="H76" i="17"/>
  <c r="E61" i="15"/>
  <c r="F60" i="14" s="1"/>
  <c r="E59" i="15"/>
  <c r="F58" i="14" s="1"/>
  <c r="E15" i="13"/>
  <c r="F15" i="13" s="1"/>
  <c r="R32" i="17"/>
  <c r="H31" i="14" s="1"/>
  <c r="R39" i="17"/>
  <c r="H38" i="14" s="1"/>
  <c r="R41" i="17"/>
  <c r="H40" i="14" s="1"/>
  <c r="R44" i="17"/>
  <c r="H43" i="14" s="1"/>
  <c r="D76" i="17"/>
  <c r="E30" i="13"/>
  <c r="F30" i="13" s="1"/>
  <c r="R75" i="17"/>
  <c r="H74" i="14" s="1"/>
  <c r="R28" i="17"/>
  <c r="H27" i="14" s="1"/>
  <c r="E52" i="15"/>
  <c r="F51" i="14" s="1"/>
  <c r="R8" i="17" l="1"/>
  <c r="H7" i="14" s="1"/>
  <c r="K26" i="13"/>
  <c r="D3" i="18"/>
  <c r="F22" i="13"/>
  <c r="B76" i="17"/>
  <c r="R31" i="17"/>
  <c r="H30" i="14" s="1"/>
  <c r="F27" i="13"/>
  <c r="H3" i="14"/>
  <c r="F24" i="13"/>
  <c r="F41" i="13"/>
  <c r="F12" i="13"/>
  <c r="F25" i="13"/>
  <c r="F38" i="13"/>
  <c r="F13" i="13"/>
  <c r="F28" i="13"/>
  <c r="F26" i="13"/>
  <c r="F37" i="13"/>
  <c r="F23" i="13"/>
  <c r="F35" i="13"/>
  <c r="E76" i="15"/>
  <c r="F3" i="14"/>
  <c r="R76" i="17" l="1"/>
  <c r="E46" i="18"/>
  <c r="E26" i="18"/>
  <c r="E53" i="18"/>
  <c r="E8" i="18"/>
  <c r="E45" i="18"/>
  <c r="E59" i="18"/>
  <c r="E25" i="18"/>
  <c r="E40" i="18"/>
  <c r="D21" i="18"/>
  <c r="D51" i="18"/>
  <c r="D16" i="18"/>
  <c r="D18" i="18"/>
  <c r="D53" i="18"/>
  <c r="D45" i="18"/>
  <c r="D44" i="18"/>
  <c r="D76" i="18"/>
  <c r="E55" i="18"/>
  <c r="E6" i="18"/>
  <c r="D39" i="18"/>
  <c r="E14" i="18"/>
  <c r="E10" i="18"/>
  <c r="E19" i="18"/>
  <c r="E24" i="18"/>
  <c r="E47" i="18"/>
  <c r="E39" i="18"/>
  <c r="D38" i="18"/>
  <c r="E44" i="18"/>
  <c r="D66" i="18"/>
  <c r="D20" i="18"/>
  <c r="D31" i="18"/>
  <c r="D77" i="18"/>
  <c r="D57" i="18"/>
  <c r="D41" i="18"/>
  <c r="D69" i="18"/>
  <c r="D12" i="18"/>
  <c r="D49" i="18"/>
  <c r="E67" i="18"/>
  <c r="E12" i="18"/>
  <c r="E41" i="18"/>
  <c r="E21" i="18"/>
  <c r="E63" i="18"/>
  <c r="E9" i="18"/>
  <c r="D25" i="18"/>
  <c r="D24" i="18"/>
  <c r="D47" i="18"/>
  <c r="D55" i="18"/>
  <c r="D42" i="18"/>
  <c r="D7" i="18"/>
  <c r="D60" i="18"/>
  <c r="D32" i="18"/>
  <c r="D6" i="18"/>
  <c r="E28" i="18"/>
  <c r="E71" i="18"/>
  <c r="E20" i="18"/>
  <c r="E50" i="18"/>
  <c r="E32" i="18"/>
  <c r="E33" i="18"/>
  <c r="E35" i="18"/>
  <c r="E51" i="18"/>
  <c r="D28" i="18"/>
  <c r="N28" i="18" s="1"/>
  <c r="D25" i="14" s="1"/>
  <c r="E62" i="18"/>
  <c r="D58" i="18"/>
  <c r="D15" i="18"/>
  <c r="D23" i="18"/>
  <c r="D71" i="18"/>
  <c r="D36" i="18"/>
  <c r="D46" i="18"/>
  <c r="D19" i="18"/>
  <c r="E73" i="18"/>
  <c r="D26" i="18"/>
  <c r="N26" i="18" s="1"/>
  <c r="D23" i="14" s="1"/>
  <c r="E31" i="18"/>
  <c r="E70" i="18"/>
  <c r="E11" i="18"/>
  <c r="E75" i="18"/>
  <c r="E49" i="18"/>
  <c r="E58" i="18"/>
  <c r="E27" i="18"/>
  <c r="E15" i="18"/>
  <c r="E72" i="18"/>
  <c r="D13" i="18"/>
  <c r="D14" i="18"/>
  <c r="D72" i="18"/>
  <c r="D43" i="18"/>
  <c r="D8" i="18"/>
  <c r="N8" i="18" s="1"/>
  <c r="D5" i="14" s="1"/>
  <c r="D65" i="18"/>
  <c r="D75" i="18"/>
  <c r="N75" i="18" s="1"/>
  <c r="D72" i="14" s="1"/>
  <c r="D59" i="18"/>
  <c r="N59" i="18" s="1"/>
  <c r="D56" i="14" s="1"/>
  <c r="E57" i="18"/>
  <c r="E43" i="18"/>
  <c r="E76" i="18"/>
  <c r="E64" i="18"/>
  <c r="E16" i="18"/>
  <c r="E66" i="18"/>
  <c r="E23" i="18"/>
  <c r="E36" i="18"/>
  <c r="E65" i="18"/>
  <c r="D73" i="18"/>
  <c r="D33" i="18"/>
  <c r="D10" i="18"/>
  <c r="D70" i="18"/>
  <c r="D11" i="18"/>
  <c r="D50" i="18"/>
  <c r="D35" i="18"/>
  <c r="N35" i="18" s="1"/>
  <c r="D32" i="14" s="1"/>
  <c r="E48" i="18"/>
  <c r="E13" i="18"/>
  <c r="D52" i="18"/>
  <c r="E38" i="18"/>
  <c r="E17" i="18"/>
  <c r="E18" i="18"/>
  <c r="E42" i="18"/>
  <c r="E77" i="18"/>
  <c r="E52" i="18"/>
  <c r="E60" i="18"/>
  <c r="D67" i="18"/>
  <c r="E69" i="18"/>
  <c r="D64" i="18"/>
  <c r="D27" i="18"/>
  <c r="N27" i="18" s="1"/>
  <c r="D24" i="14" s="1"/>
  <c r="D9" i="18"/>
  <c r="N9" i="18" s="1"/>
  <c r="D6" i="14" s="1"/>
  <c r="D62" i="18"/>
  <c r="D63" i="18"/>
  <c r="D17" i="18"/>
  <c r="D40" i="18"/>
  <c r="E7" i="18"/>
  <c r="D48" i="18"/>
  <c r="K31" i="13"/>
  <c r="K30" i="13"/>
  <c r="K28" i="13"/>
  <c r="K29" i="13"/>
  <c r="K36" i="13"/>
  <c r="K34" i="13"/>
  <c r="K32" i="13"/>
  <c r="K33" i="13"/>
  <c r="K37" i="13"/>
  <c r="K35" i="13"/>
  <c r="H76" i="14"/>
  <c r="F76" i="14"/>
  <c r="N19" i="18" l="1"/>
  <c r="D16" i="14" s="1"/>
  <c r="N14" i="18"/>
  <c r="D11" i="14" s="1"/>
  <c r="N73" i="18"/>
  <c r="D70" i="14" s="1"/>
  <c r="J70" i="14" s="1"/>
  <c r="N6" i="18"/>
  <c r="D3" i="14" s="1"/>
  <c r="J3" i="14" s="1"/>
  <c r="N58" i="18"/>
  <c r="D55" i="14" s="1"/>
  <c r="J55" i="14" s="1"/>
  <c r="I55" i="14" s="1"/>
  <c r="N63" i="18"/>
  <c r="D60" i="14" s="1"/>
  <c r="J60" i="14" s="1"/>
  <c r="N62" i="18"/>
  <c r="D59" i="14" s="1"/>
  <c r="J59" i="14" s="1"/>
  <c r="G59" i="14" s="1"/>
  <c r="N55" i="18"/>
  <c r="D52" i="14" s="1"/>
  <c r="J52" i="14" s="1"/>
  <c r="G52" i="14" s="1"/>
  <c r="N45" i="18"/>
  <c r="D42" i="14" s="1"/>
  <c r="J42" i="14" s="1"/>
  <c r="N10" i="18"/>
  <c r="D7" i="14" s="1"/>
  <c r="J7" i="14" s="1"/>
  <c r="N43" i="18"/>
  <c r="D40" i="14" s="1"/>
  <c r="J40" i="14" s="1"/>
  <c r="N46" i="18"/>
  <c r="D43" i="14" s="1"/>
  <c r="J43" i="14" s="1"/>
  <c r="N25" i="18"/>
  <c r="D22" i="14" s="1"/>
  <c r="J22" i="14" s="1"/>
  <c r="I22" i="14" s="1"/>
  <c r="N39" i="18"/>
  <c r="D36" i="14" s="1"/>
  <c r="J36" i="14" s="1"/>
  <c r="N11" i="18"/>
  <c r="D8" i="14" s="1"/>
  <c r="J8" i="14" s="1"/>
  <c r="N67" i="18"/>
  <c r="D64" i="14" s="1"/>
  <c r="J64" i="14" s="1"/>
  <c r="N33" i="18"/>
  <c r="D30" i="14" s="1"/>
  <c r="J30" i="14" s="1"/>
  <c r="I30" i="14" s="1"/>
  <c r="N12" i="18"/>
  <c r="D9" i="14" s="1"/>
  <c r="J9" i="14" s="1"/>
  <c r="J25" i="14"/>
  <c r="K25" i="14" s="1"/>
  <c r="J72" i="14"/>
  <c r="G72" i="14" s="1"/>
  <c r="J23" i="14"/>
  <c r="J6" i="14"/>
  <c r="J24" i="14"/>
  <c r="G24" i="14" s="1"/>
  <c r="J5" i="14"/>
  <c r="J16" i="14"/>
  <c r="J56" i="14"/>
  <c r="J32" i="14"/>
  <c r="J11" i="14"/>
  <c r="N47" i="18"/>
  <c r="D44" i="14" s="1"/>
  <c r="N48" i="18"/>
  <c r="D45" i="14" s="1"/>
  <c r="N70" i="18"/>
  <c r="D67" i="14" s="1"/>
  <c r="N40" i="18"/>
  <c r="D37" i="14" s="1"/>
  <c r="N15" i="18"/>
  <c r="D12" i="14" s="1"/>
  <c r="N42" i="18"/>
  <c r="D39" i="14" s="1"/>
  <c r="N16" i="18"/>
  <c r="D13" i="14" s="1"/>
  <c r="E37" i="18"/>
  <c r="D37" i="18"/>
  <c r="E29" i="18"/>
  <c r="D29" i="18"/>
  <c r="N13" i="18"/>
  <c r="D10" i="14" s="1"/>
  <c r="N23" i="18"/>
  <c r="D20" i="14" s="1"/>
  <c r="N7" i="18"/>
  <c r="D4" i="14" s="1"/>
  <c r="N57" i="18"/>
  <c r="D54" i="14" s="1"/>
  <c r="N76" i="18"/>
  <c r="D73" i="14" s="1"/>
  <c r="N77" i="18"/>
  <c r="D74" i="14" s="1"/>
  <c r="N44" i="18"/>
  <c r="D41" i="14" s="1"/>
  <c r="D61" i="18"/>
  <c r="E61" i="18"/>
  <c r="E30" i="18"/>
  <c r="D30" i="18"/>
  <c r="N50" i="18"/>
  <c r="D47" i="14" s="1"/>
  <c r="N31" i="18"/>
  <c r="D28" i="14" s="1"/>
  <c r="E74" i="18"/>
  <c r="D74" i="18"/>
  <c r="E34" i="18"/>
  <c r="D34" i="18"/>
  <c r="N65" i="18"/>
  <c r="D62" i="14" s="1"/>
  <c r="N20" i="18"/>
  <c r="D17" i="14" s="1"/>
  <c r="N53" i="18"/>
  <c r="D50" i="14" s="1"/>
  <c r="E22" i="18"/>
  <c r="D22" i="18"/>
  <c r="E54" i="18"/>
  <c r="D54" i="18"/>
  <c r="N64" i="18"/>
  <c r="D61" i="14" s="1"/>
  <c r="N24" i="18"/>
  <c r="D21" i="14" s="1"/>
  <c r="N49" i="18"/>
  <c r="D46" i="14" s="1"/>
  <c r="N66" i="18"/>
  <c r="D63" i="14" s="1"/>
  <c r="N18" i="18"/>
  <c r="D15" i="14" s="1"/>
  <c r="E56" i="18"/>
  <c r="D56" i="18"/>
  <c r="N52" i="18"/>
  <c r="D49" i="14" s="1"/>
  <c r="N72" i="18"/>
  <c r="D69" i="14" s="1"/>
  <c r="N36" i="18"/>
  <c r="D33" i="14" s="1"/>
  <c r="N32" i="18"/>
  <c r="D29" i="14" s="1"/>
  <c r="N69" i="18"/>
  <c r="D66" i="14" s="1"/>
  <c r="N38" i="18"/>
  <c r="D35" i="14" s="1"/>
  <c r="N51" i="18"/>
  <c r="D48" i="14" s="1"/>
  <c r="E68" i="18"/>
  <c r="D68" i="18"/>
  <c r="N17" i="18"/>
  <c r="D14" i="14" s="1"/>
  <c r="N71" i="18"/>
  <c r="D68" i="14" s="1"/>
  <c r="N60" i="18"/>
  <c r="D57" i="14" s="1"/>
  <c r="N41" i="18"/>
  <c r="D38" i="14" s="1"/>
  <c r="N21" i="18"/>
  <c r="D18" i="14" s="1"/>
  <c r="E25" i="14" l="1"/>
  <c r="L25" i="14"/>
  <c r="G25" i="14"/>
  <c r="I25" i="14"/>
  <c r="I52" i="14"/>
  <c r="E30" i="14"/>
  <c r="K30" i="14"/>
  <c r="L30" i="14"/>
  <c r="K52" i="14"/>
  <c r="L52" i="14"/>
  <c r="E52" i="14"/>
  <c r="G30" i="14"/>
  <c r="K9" i="14"/>
  <c r="E23" i="14"/>
  <c r="E5" i="14"/>
  <c r="K60" i="14"/>
  <c r="E59" i="14"/>
  <c r="G9" i="14"/>
  <c r="L22" i="14"/>
  <c r="E43" i="14"/>
  <c r="G6" i="14"/>
  <c r="G40" i="14"/>
  <c r="K42" i="14"/>
  <c r="L7" i="14"/>
  <c r="E32" i="14"/>
  <c r="I32" i="14"/>
  <c r="G23" i="14"/>
  <c r="N37" i="18"/>
  <c r="D34" i="14" s="1"/>
  <c r="J34" i="14" s="1"/>
  <c r="N56" i="18"/>
  <c r="D53" i="14" s="1"/>
  <c r="J53" i="14" s="1"/>
  <c r="N30" i="18"/>
  <c r="D27" i="14" s="1"/>
  <c r="J27" i="14" s="1"/>
  <c r="E6" i="14"/>
  <c r="E72" i="14"/>
  <c r="K7" i="14"/>
  <c r="I7" i="14"/>
  <c r="E7" i="14"/>
  <c r="L32" i="14"/>
  <c r="L59" i="14"/>
  <c r="G7" i="14"/>
  <c r="J13" i="14"/>
  <c r="E56" i="14"/>
  <c r="K56" i="14"/>
  <c r="L56" i="14"/>
  <c r="M25" i="14"/>
  <c r="N25" i="14" s="1"/>
  <c r="O25" i="14" s="1"/>
  <c r="I40" i="14"/>
  <c r="G36" i="14"/>
  <c r="K40" i="14"/>
  <c r="E36" i="14"/>
  <c r="E60" i="14"/>
  <c r="L40" i="14"/>
  <c r="I36" i="14"/>
  <c r="L43" i="14"/>
  <c r="E55" i="14"/>
  <c r="E40" i="14"/>
  <c r="G60" i="14"/>
  <c r="L36" i="14"/>
  <c r="K36" i="14"/>
  <c r="I60" i="14"/>
  <c r="L60" i="14"/>
  <c r="J12" i="14"/>
  <c r="G56" i="14"/>
  <c r="I56" i="14"/>
  <c r="L16" i="14"/>
  <c r="I16" i="14"/>
  <c r="G16" i="14"/>
  <c r="K16" i="14"/>
  <c r="E16" i="14"/>
  <c r="L24" i="14"/>
  <c r="K24" i="14"/>
  <c r="I24" i="14"/>
  <c r="E24" i="14"/>
  <c r="G55" i="14"/>
  <c r="K55" i="14"/>
  <c r="M55" i="14" s="1"/>
  <c r="N55" i="14" s="1"/>
  <c r="O55" i="14" s="1"/>
  <c r="K22" i="14"/>
  <c r="K43" i="14"/>
  <c r="G43" i="14"/>
  <c r="I43" i="14"/>
  <c r="L23" i="14"/>
  <c r="I23" i="14"/>
  <c r="K23" i="14"/>
  <c r="J44" i="14"/>
  <c r="K32" i="14"/>
  <c r="G32" i="14"/>
  <c r="L5" i="14"/>
  <c r="I5" i="14"/>
  <c r="K5" i="14"/>
  <c r="G5" i="14"/>
  <c r="L6" i="14"/>
  <c r="I6" i="14"/>
  <c r="J68" i="14"/>
  <c r="I68" i="14" s="1"/>
  <c r="E22" i="14"/>
  <c r="I72" i="14"/>
  <c r="K72" i="14"/>
  <c r="M72" i="14" s="1"/>
  <c r="N72" i="14" s="1"/>
  <c r="O72" i="14" s="1"/>
  <c r="G8" i="14"/>
  <c r="K8" i="14"/>
  <c r="I8" i="14"/>
  <c r="L8" i="14"/>
  <c r="E8" i="14"/>
  <c r="J21" i="14"/>
  <c r="L70" i="14"/>
  <c r="I70" i="14"/>
  <c r="K70" i="14"/>
  <c r="E70" i="14"/>
  <c r="G70" i="14"/>
  <c r="J20" i="14"/>
  <c r="L9" i="14"/>
  <c r="M9" i="14" s="1"/>
  <c r="N9" i="14" s="1"/>
  <c r="O9" i="14" s="1"/>
  <c r="E9" i="14"/>
  <c r="I9" i="14"/>
  <c r="L42" i="14"/>
  <c r="I42" i="14"/>
  <c r="G42" i="14"/>
  <c r="E42" i="14"/>
  <c r="G22" i="14"/>
  <c r="J39" i="14"/>
  <c r="J10" i="14"/>
  <c r="K6" i="14"/>
  <c r="E11" i="14"/>
  <c r="I11" i="14"/>
  <c r="G11" i="14"/>
  <c r="L11" i="14"/>
  <c r="K11" i="14"/>
  <c r="K64" i="14"/>
  <c r="E64" i="14"/>
  <c r="G64" i="14"/>
  <c r="L64" i="14"/>
  <c r="I64" i="14"/>
  <c r="I59" i="14"/>
  <c r="K59" i="14"/>
  <c r="N68" i="18"/>
  <c r="D65" i="14" s="1"/>
  <c r="J67" i="14"/>
  <c r="J45" i="14"/>
  <c r="N34" i="18"/>
  <c r="D31" i="14" s="1"/>
  <c r="J37" i="14"/>
  <c r="J49" i="14"/>
  <c r="N54" i="18"/>
  <c r="D51" i="14" s="1"/>
  <c r="J51" i="14" s="1"/>
  <c r="N22" i="18"/>
  <c r="J74" i="14"/>
  <c r="J18" i="14"/>
  <c r="E78" i="18"/>
  <c r="J28" i="14"/>
  <c r="J38" i="14"/>
  <c r="J48" i="14"/>
  <c r="J50" i="14"/>
  <c r="J47" i="14"/>
  <c r="J73" i="14"/>
  <c r="J57" i="14"/>
  <c r="J35" i="14"/>
  <c r="J15" i="14"/>
  <c r="J17" i="14"/>
  <c r="J54" i="14"/>
  <c r="D78" i="18"/>
  <c r="J66" i="14"/>
  <c r="J63" i="14"/>
  <c r="J62" i="14"/>
  <c r="J4" i="14"/>
  <c r="J14" i="14"/>
  <c r="J29" i="14"/>
  <c r="J46" i="14"/>
  <c r="J33" i="14"/>
  <c r="N61" i="18"/>
  <c r="D58" i="14" s="1"/>
  <c r="J69" i="14"/>
  <c r="J61" i="14"/>
  <c r="N74" i="18"/>
  <c r="D71" i="14" s="1"/>
  <c r="J41" i="14"/>
  <c r="N29" i="18"/>
  <c r="D26" i="14" s="1"/>
  <c r="L3" i="14"/>
  <c r="K3" i="14"/>
  <c r="I3" i="14"/>
  <c r="G3" i="14"/>
  <c r="E3" i="14"/>
  <c r="M52" i="14" l="1"/>
  <c r="N52" i="14" s="1"/>
  <c r="O52" i="14" s="1"/>
  <c r="M22" i="14"/>
  <c r="N22" i="14" s="1"/>
  <c r="O22" i="14" s="1"/>
  <c r="M30" i="14"/>
  <c r="N30" i="14" s="1"/>
  <c r="O30" i="14" s="1"/>
  <c r="M60" i="14"/>
  <c r="N60" i="14" s="1"/>
  <c r="O60" i="14" s="1"/>
  <c r="M7" i="14"/>
  <c r="N7" i="14" s="1"/>
  <c r="O7" i="14" s="1"/>
  <c r="D80" i="18"/>
  <c r="M32" i="14"/>
  <c r="N32" i="14" s="1"/>
  <c r="O32" i="14" s="1"/>
  <c r="M42" i="14"/>
  <c r="N42" i="14" s="1"/>
  <c r="O42" i="14" s="1"/>
  <c r="E14" i="14"/>
  <c r="E15" i="14"/>
  <c r="E28" i="14"/>
  <c r="I53" i="14"/>
  <c r="E68" i="14"/>
  <c r="E62" i="14"/>
  <c r="K12" i="14"/>
  <c r="L13" i="14"/>
  <c r="M13" i="14" s="1"/>
  <c r="N13" i="14" s="1"/>
  <c r="O13" i="14" s="1"/>
  <c r="E4" i="14"/>
  <c r="E61" i="14"/>
  <c r="E73" i="14"/>
  <c r="E66" i="14"/>
  <c r="E47" i="14"/>
  <c r="E18" i="14"/>
  <c r="E63" i="14"/>
  <c r="L51" i="14"/>
  <c r="E33" i="14"/>
  <c r="E54" i="14"/>
  <c r="E49" i="14"/>
  <c r="E57" i="14"/>
  <c r="E69" i="14"/>
  <c r="E74" i="14"/>
  <c r="E46" i="14"/>
  <c r="E48" i="14"/>
  <c r="E29" i="14"/>
  <c r="E17" i="14"/>
  <c r="E38" i="14"/>
  <c r="E37" i="14"/>
  <c r="G20" i="14"/>
  <c r="E21" i="14"/>
  <c r="K27" i="14"/>
  <c r="M59" i="14"/>
  <c r="N59" i="14" s="1"/>
  <c r="O59" i="14" s="1"/>
  <c r="E27" i="14"/>
  <c r="G27" i="14"/>
  <c r="M40" i="14"/>
  <c r="N40" i="14" s="1"/>
  <c r="O40" i="14" s="1"/>
  <c r="L27" i="14"/>
  <c r="M56" i="14"/>
  <c r="N56" i="14" s="1"/>
  <c r="O56" i="14" s="1"/>
  <c r="M24" i="14"/>
  <c r="N24" i="14" s="1"/>
  <c r="O24" i="14" s="1"/>
  <c r="M36" i="14"/>
  <c r="N36" i="14" s="1"/>
  <c r="O36" i="14" s="1"/>
  <c r="I12" i="14"/>
  <c r="M6" i="14"/>
  <c r="N6" i="14" s="1"/>
  <c r="O6" i="14" s="1"/>
  <c r="E67" i="14"/>
  <c r="M5" i="14"/>
  <c r="N5" i="14" s="1"/>
  <c r="O5" i="14" s="1"/>
  <c r="M43" i="14"/>
  <c r="N43" i="14" s="1"/>
  <c r="O43" i="14" s="1"/>
  <c r="G13" i="14"/>
  <c r="G39" i="14"/>
  <c r="L39" i="14"/>
  <c r="M16" i="14"/>
  <c r="N16" i="14" s="1"/>
  <c r="O16" i="14" s="1"/>
  <c r="E13" i="14"/>
  <c r="G53" i="14"/>
  <c r="M70" i="14"/>
  <c r="N70" i="14" s="1"/>
  <c r="O70" i="14" s="1"/>
  <c r="M23" i="14"/>
  <c r="N23" i="14" s="1"/>
  <c r="O23" i="14" s="1"/>
  <c r="I13" i="14"/>
  <c r="I27" i="14"/>
  <c r="M8" i="14"/>
  <c r="N8" i="14" s="1"/>
  <c r="O8" i="14" s="1"/>
  <c r="J26" i="14"/>
  <c r="I20" i="14"/>
  <c r="L20" i="14"/>
  <c r="E44" i="14"/>
  <c r="G44" i="14"/>
  <c r="L44" i="14"/>
  <c r="I44" i="14"/>
  <c r="K44" i="14"/>
  <c r="E20" i="14"/>
  <c r="M64" i="14"/>
  <c r="N64" i="14" s="1"/>
  <c r="O64" i="14" s="1"/>
  <c r="I39" i="14"/>
  <c r="K53" i="14"/>
  <c r="M53" i="14" s="1"/>
  <c r="N53" i="14" s="1"/>
  <c r="O53" i="14" s="1"/>
  <c r="L12" i="14"/>
  <c r="E12" i="14"/>
  <c r="G12" i="14"/>
  <c r="E39" i="14"/>
  <c r="E10" i="14"/>
  <c r="K10" i="14"/>
  <c r="G10" i="14"/>
  <c r="I10" i="14"/>
  <c r="L10" i="14"/>
  <c r="L68" i="14"/>
  <c r="G68" i="14"/>
  <c r="K68" i="14"/>
  <c r="G34" i="14"/>
  <c r="L34" i="14"/>
  <c r="E34" i="14"/>
  <c r="I34" i="14"/>
  <c r="K34" i="14"/>
  <c r="K39" i="14"/>
  <c r="E53" i="14"/>
  <c r="K20" i="14"/>
  <c r="M11" i="14"/>
  <c r="N11" i="14" s="1"/>
  <c r="O11" i="14" s="1"/>
  <c r="J71" i="14"/>
  <c r="J65" i="14"/>
  <c r="K65" i="14" s="1"/>
  <c r="M65" i="14" s="1"/>
  <c r="N65" i="14" s="1"/>
  <c r="O65" i="14" s="1"/>
  <c r="G21" i="14"/>
  <c r="L21" i="14"/>
  <c r="K21" i="14"/>
  <c r="I21" i="14"/>
  <c r="I45" i="14"/>
  <c r="G45" i="14"/>
  <c r="K45" i="14"/>
  <c r="L45" i="14"/>
  <c r="J31" i="14"/>
  <c r="E31" i="14" s="1"/>
  <c r="G67" i="14"/>
  <c r="L67" i="14"/>
  <c r="I67" i="14"/>
  <c r="K67" i="14"/>
  <c r="K37" i="14"/>
  <c r="L37" i="14"/>
  <c r="I37" i="14"/>
  <c r="G37" i="14"/>
  <c r="E45" i="14"/>
  <c r="G41" i="14"/>
  <c r="I41" i="14"/>
  <c r="L41" i="14"/>
  <c r="K41" i="14"/>
  <c r="L35" i="14"/>
  <c r="K35" i="14"/>
  <c r="I35" i="14"/>
  <c r="G35" i="14"/>
  <c r="I50" i="14"/>
  <c r="K50" i="14"/>
  <c r="L50" i="14"/>
  <c r="G50" i="14"/>
  <c r="K33" i="14"/>
  <c r="G33" i="14"/>
  <c r="L33" i="14"/>
  <c r="I33" i="14"/>
  <c r="K4" i="14"/>
  <c r="L4" i="14"/>
  <c r="I4" i="14"/>
  <c r="G4" i="14"/>
  <c r="G18" i="14"/>
  <c r="I18" i="14"/>
  <c r="L18" i="14"/>
  <c r="K18" i="14"/>
  <c r="K54" i="14"/>
  <c r="G54" i="14"/>
  <c r="I54" i="14"/>
  <c r="L54" i="14"/>
  <c r="L57" i="14"/>
  <c r="K57" i="14"/>
  <c r="G57" i="14"/>
  <c r="I57" i="14"/>
  <c r="L48" i="14"/>
  <c r="I48" i="14"/>
  <c r="K48" i="14"/>
  <c r="G48" i="14"/>
  <c r="I61" i="14"/>
  <c r="L61" i="14"/>
  <c r="G61" i="14"/>
  <c r="K61" i="14"/>
  <c r="G46" i="14"/>
  <c r="I46" i="14"/>
  <c r="L46" i="14"/>
  <c r="K46" i="14"/>
  <c r="L62" i="14"/>
  <c r="K62" i="14"/>
  <c r="I62" i="14"/>
  <c r="G62" i="14"/>
  <c r="L74" i="14"/>
  <c r="K74" i="14"/>
  <c r="I74" i="14"/>
  <c r="G74" i="14"/>
  <c r="K17" i="14"/>
  <c r="G17" i="14"/>
  <c r="I17" i="14"/>
  <c r="L17" i="14"/>
  <c r="G73" i="14"/>
  <c r="L73" i="14"/>
  <c r="K73" i="14"/>
  <c r="I73" i="14"/>
  <c r="I38" i="14"/>
  <c r="L38" i="14"/>
  <c r="K38" i="14"/>
  <c r="G38" i="14"/>
  <c r="D19" i="14"/>
  <c r="N78" i="18"/>
  <c r="G69" i="14"/>
  <c r="K69" i="14"/>
  <c r="L69" i="14"/>
  <c r="I69" i="14"/>
  <c r="L29" i="14"/>
  <c r="K29" i="14"/>
  <c r="I29" i="14"/>
  <c r="G29" i="14"/>
  <c r="L63" i="14"/>
  <c r="G63" i="14"/>
  <c r="K63" i="14"/>
  <c r="I63" i="14"/>
  <c r="E51" i="14"/>
  <c r="K15" i="14"/>
  <c r="I15" i="14"/>
  <c r="L15" i="14"/>
  <c r="G15" i="14"/>
  <c r="K47" i="14"/>
  <c r="L47" i="14"/>
  <c r="G47" i="14"/>
  <c r="I47" i="14"/>
  <c r="G28" i="14"/>
  <c r="L28" i="14"/>
  <c r="K28" i="14"/>
  <c r="I28" i="14"/>
  <c r="E41" i="14"/>
  <c r="J58" i="14"/>
  <c r="G14" i="14"/>
  <c r="L14" i="14"/>
  <c r="I14" i="14"/>
  <c r="K14" i="14"/>
  <c r="I66" i="14"/>
  <c r="L66" i="14"/>
  <c r="K66" i="14"/>
  <c r="G66" i="14"/>
  <c r="E35" i="14"/>
  <c r="E50" i="14"/>
  <c r="L49" i="14"/>
  <c r="K49" i="14"/>
  <c r="G49" i="14"/>
  <c r="I49" i="14"/>
  <c r="M3" i="14"/>
  <c r="N3" i="14" s="1"/>
  <c r="O3" i="14" s="1"/>
  <c r="M12" i="14" l="1"/>
  <c r="N12" i="14" s="1"/>
  <c r="O12" i="14" s="1"/>
  <c r="M39" i="14"/>
  <c r="N39" i="14" s="1"/>
  <c r="O39" i="14" s="1"/>
  <c r="E26" i="14"/>
  <c r="M27" i="14"/>
  <c r="N27" i="14" s="1"/>
  <c r="O27" i="14" s="1"/>
  <c r="K71" i="14"/>
  <c r="G26" i="14"/>
  <c r="L26" i="14"/>
  <c r="E58" i="14"/>
  <c r="K26" i="14"/>
  <c r="I26" i="14"/>
  <c r="G65" i="14"/>
  <c r="M44" i="14"/>
  <c r="N44" i="14" s="1"/>
  <c r="O44" i="14" s="1"/>
  <c r="I65" i="14"/>
  <c r="M68" i="14"/>
  <c r="N68" i="14" s="1"/>
  <c r="O68" i="14" s="1"/>
  <c r="M21" i="14"/>
  <c r="N21" i="14" s="1"/>
  <c r="O21" i="14" s="1"/>
  <c r="I71" i="14"/>
  <c r="E65" i="14"/>
  <c r="M20" i="14"/>
  <c r="N20" i="14" s="1"/>
  <c r="O20" i="14" s="1"/>
  <c r="M10" i="14"/>
  <c r="N10" i="14" s="1"/>
  <c r="O10" i="14" s="1"/>
  <c r="M18" i="14"/>
  <c r="N18" i="14" s="1"/>
  <c r="O18" i="14" s="1"/>
  <c r="E71" i="14"/>
  <c r="L71" i="14"/>
  <c r="M34" i="14"/>
  <c r="N34" i="14" s="1"/>
  <c r="O34" i="14" s="1"/>
  <c r="M35" i="14"/>
  <c r="N35" i="14" s="1"/>
  <c r="O35" i="14" s="1"/>
  <c r="G71" i="14"/>
  <c r="M45" i="14"/>
  <c r="N45" i="14" s="1"/>
  <c r="O45" i="14" s="1"/>
  <c r="M46" i="14"/>
  <c r="N46" i="14" s="1"/>
  <c r="O46" i="14" s="1"/>
  <c r="M17" i="14"/>
  <c r="N17" i="14" s="1"/>
  <c r="O17" i="14" s="1"/>
  <c r="M61" i="14"/>
  <c r="N61" i="14" s="1"/>
  <c r="O61" i="14" s="1"/>
  <c r="M47" i="14"/>
  <c r="N47" i="14" s="1"/>
  <c r="O47" i="14" s="1"/>
  <c r="M38" i="14"/>
  <c r="N38" i="14" s="1"/>
  <c r="O38" i="14" s="1"/>
  <c r="M74" i="14"/>
  <c r="N74" i="14" s="1"/>
  <c r="O74" i="14" s="1"/>
  <c r="M37" i="14"/>
  <c r="N37" i="14" s="1"/>
  <c r="O37" i="14" s="1"/>
  <c r="K31" i="14"/>
  <c r="M31" i="14" s="1"/>
  <c r="N31" i="14" s="1"/>
  <c r="O31" i="14" s="1"/>
  <c r="G31" i="14"/>
  <c r="I31" i="14"/>
  <c r="M67" i="14"/>
  <c r="N67" i="14" s="1"/>
  <c r="O67" i="14" s="1"/>
  <c r="M29" i="14"/>
  <c r="N29" i="14" s="1"/>
  <c r="O29" i="14" s="1"/>
  <c r="M33" i="14"/>
  <c r="N33" i="14" s="1"/>
  <c r="O33" i="14" s="1"/>
  <c r="M54" i="14"/>
  <c r="N54" i="14" s="1"/>
  <c r="O54" i="14" s="1"/>
  <c r="M50" i="14"/>
  <c r="N50" i="14" s="1"/>
  <c r="O50" i="14" s="1"/>
  <c r="M14" i="14"/>
  <c r="N14" i="14" s="1"/>
  <c r="O14" i="14" s="1"/>
  <c r="M41" i="14"/>
  <c r="N41" i="14" s="1"/>
  <c r="O41" i="14" s="1"/>
  <c r="M69" i="14"/>
  <c r="N69" i="14" s="1"/>
  <c r="O69" i="14" s="1"/>
  <c r="M49" i="14"/>
  <c r="N49" i="14" s="1"/>
  <c r="O49" i="14" s="1"/>
  <c r="M15" i="14"/>
  <c r="N15" i="14" s="1"/>
  <c r="O15" i="14" s="1"/>
  <c r="M4" i="14"/>
  <c r="N4" i="14" s="1"/>
  <c r="O4" i="14" s="1"/>
  <c r="M28" i="14"/>
  <c r="N28" i="14" s="1"/>
  <c r="O28" i="14" s="1"/>
  <c r="M62" i="14"/>
  <c r="N62" i="14" s="1"/>
  <c r="O62" i="14" s="1"/>
  <c r="G51" i="14"/>
  <c r="K51" i="14"/>
  <c r="I51" i="14"/>
  <c r="M66" i="14"/>
  <c r="N66" i="14" s="1"/>
  <c r="O66" i="14" s="1"/>
  <c r="J19" i="14"/>
  <c r="D76" i="14"/>
  <c r="J78" i="14" s="1"/>
  <c r="M57" i="14"/>
  <c r="N57" i="14" s="1"/>
  <c r="O57" i="14" s="1"/>
  <c r="L58" i="14"/>
  <c r="K58" i="14"/>
  <c r="I58" i="14"/>
  <c r="G58" i="14"/>
  <c r="M63" i="14"/>
  <c r="N63" i="14" s="1"/>
  <c r="O63" i="14" s="1"/>
  <c r="M73" i="14"/>
  <c r="N73" i="14" s="1"/>
  <c r="O73" i="14" s="1"/>
  <c r="M48" i="14"/>
  <c r="N48" i="14" s="1"/>
  <c r="O48" i="14" s="1"/>
  <c r="M71" i="14" l="1"/>
  <c r="N71" i="14" s="1"/>
  <c r="O71" i="14" s="1"/>
  <c r="M26" i="14"/>
  <c r="N26" i="14" s="1"/>
  <c r="O26" i="14" s="1"/>
  <c r="J76" i="14"/>
  <c r="M51" i="14"/>
  <c r="N51" i="14" s="1"/>
  <c r="O51" i="14" s="1"/>
  <c r="G19" i="14"/>
  <c r="K19" i="14"/>
  <c r="L19" i="14"/>
  <c r="L76" i="14" s="1"/>
  <c r="I19" i="14"/>
  <c r="H78" i="14"/>
  <c r="M58" i="14"/>
  <c r="N58" i="14" s="1"/>
  <c r="O58" i="14" s="1"/>
  <c r="E19" i="14"/>
  <c r="K76" i="14" l="1"/>
  <c r="M9" i="13" s="1"/>
  <c r="M19" i="14"/>
  <c r="D79" i="14" l="1"/>
  <c r="D80" i="14" s="1"/>
  <c r="I1" i="13"/>
  <c r="M8" i="13"/>
  <c r="K78" i="14"/>
  <c r="M78" i="14" s="1"/>
  <c r="M76" i="14"/>
  <c r="N19" i="14"/>
  <c r="O19" i="14" s="1"/>
  <c r="N76" i="14" l="1"/>
</calcChain>
</file>

<file path=xl/sharedStrings.xml><?xml version="1.0" encoding="utf-8"?>
<sst xmlns="http://schemas.openxmlformats.org/spreadsheetml/2006/main" count="1276" uniqueCount="562">
  <si>
    <t>Total</t>
  </si>
  <si>
    <t>Xfer Level M&amp;E 2016-17 Actual</t>
  </si>
  <si>
    <t>CTE 9 Units 2016-17 Actual</t>
  </si>
  <si>
    <t>CTE 9 Units 5-Year PY Average</t>
  </si>
  <si>
    <t>CTE 9 Units 2017-18 Projected</t>
  </si>
  <si>
    <t>CTE 9 Units 2018-19 Projected</t>
  </si>
  <si>
    <t>CTE 9 Units 2019-20 Projected</t>
  </si>
  <si>
    <t>ADTs 2016-17 Actual</t>
  </si>
  <si>
    <t>ADTs 5-Year PY Average</t>
  </si>
  <si>
    <t>ADTs 2017-18 Projected</t>
  </si>
  <si>
    <t>ADTs 2018-19 Projected</t>
  </si>
  <si>
    <t>ADTs 2019-20 Projected</t>
  </si>
  <si>
    <t>Certificates 18+ 2016-17 Actual</t>
  </si>
  <si>
    <t>Certificates 18+ 5-Year PY Average</t>
  </si>
  <si>
    <t>Certificates 18+ 2017-18 Projected</t>
  </si>
  <si>
    <t>Certificates 18+ 2018-19 Projected</t>
  </si>
  <si>
    <t>Certificates 18+ 2019-20 Projected</t>
  </si>
  <si>
    <t>Living Wage 2016-17 Actual</t>
  </si>
  <si>
    <t>Living Wage 5-Year PY Average</t>
  </si>
  <si>
    <t>Living Wage 2017-18 Projected</t>
  </si>
  <si>
    <t>Living Wage 2018-19 Projected</t>
  </si>
  <si>
    <t>Living Wage 2019-20 Projected</t>
  </si>
  <si>
    <t>Pell 5-Year PY Average</t>
  </si>
  <si>
    <t>Pell 2017-18 Projected</t>
  </si>
  <si>
    <t>Pell 2018-19 Projected</t>
  </si>
  <si>
    <t>Pell 2019-20 Projected</t>
  </si>
  <si>
    <t>AB 540 2016-17 Actual</t>
  </si>
  <si>
    <t>AB 540 4-Year PY Average</t>
  </si>
  <si>
    <t>AB 540 2017-18 Projected</t>
  </si>
  <si>
    <t>AB 540 2018-19 Projected</t>
  </si>
  <si>
    <t>AB 540 2019-20 Projected</t>
  </si>
  <si>
    <t>BOG (25+) 2016-17 Actual</t>
  </si>
  <si>
    <t>BOG (25+) 5-Year PY Average</t>
  </si>
  <si>
    <t>BOG (25+) 2017-18 Projected</t>
  </si>
  <si>
    <t>BOG (25+) 2018-19 Projected</t>
  </si>
  <si>
    <t>BOG (25+) 2019-20 Projected</t>
  </si>
  <si>
    <t>Pell Students with Success Metrics:</t>
  </si>
  <si>
    <t>Completion of 9 CTE Credits 2016-17 Actual</t>
  </si>
  <si>
    <t>District Name</t>
  </si>
  <si>
    <t>ALLAN HANCOCK COMMUNITY COLLEGE DISTRICT</t>
  </si>
  <si>
    <t>ANTELOPE VALLEY COMMUNITY COLLEGE DISTRICT</t>
  </si>
  <si>
    <t>BARSTOW COMMUNITY COLLEGE DISTRICT</t>
  </si>
  <si>
    <t>BUTTE COMMUNITY COLLEGE DISTRICT</t>
  </si>
  <si>
    <t>CABRILLO COMMUNITY COLLEGE DISTRICT</t>
  </si>
  <si>
    <t>CERRITOS COMMUNITY COLLEGE DISTRICT</t>
  </si>
  <si>
    <t>CHABOT-LAS POSITAS COMMUNITY COLLEGE DISTRICT</t>
  </si>
  <si>
    <t>CHAFFEY COMMUNITY COLLEGE DISTRICT</t>
  </si>
  <si>
    <t>CITRUS COMMUNITY COLLEGE DISTRICT</t>
  </si>
  <si>
    <t>COAST COMMUNITY COLLEGE DISTRICT</t>
  </si>
  <si>
    <t>COMPTON COMMUNITY COLLEGE DISTRICT</t>
  </si>
  <si>
    <t>CONTRA COSTA COMMUNITY COLLEGE DISTRICT</t>
  </si>
  <si>
    <t>COPPER MT. COMMUNITY COLLEGE DISTRICT</t>
  </si>
  <si>
    <t>DESERT COMMUNITY COLLEGE DISTRICT</t>
  </si>
  <si>
    <t>EL CAMINO COMMUNITY COLLEGE DISTRICT</t>
  </si>
  <si>
    <t>FEATHER RIVER COMMUNITY COLLEGE DISTRICT</t>
  </si>
  <si>
    <t>FOOTHILL-DEANZA COMMUNITY COLLEGE DISTRICT</t>
  </si>
  <si>
    <t>GAVILAN COMMUNITY COLLEGE DISTRICT</t>
  </si>
  <si>
    <t>GLENDALE COMMUNITY COLLEGE DISTRICT</t>
  </si>
  <si>
    <t>GROSSMONT-CUYAMACA COMMUNITY COLLEGE DISTRICT</t>
  </si>
  <si>
    <t>HARTNELL COMMUNITY COLLEGE DISTRICT</t>
  </si>
  <si>
    <t>IMPERIAL COMMUNITY COLLEGE DISTRICT</t>
  </si>
  <si>
    <t>KERN COMMUNITY COLLEGE DISTRICT</t>
  </si>
  <si>
    <t>LAKE TAHOE COMMUNITY COLLEGE DISTRICT</t>
  </si>
  <si>
    <t>LASSEN COMMUNITY COLLEGE DISTRICT</t>
  </si>
  <si>
    <t>LONG BEACH COMMUNITY COLLEGE DISTRICT</t>
  </si>
  <si>
    <t>LOS ANGELES COMMUNITY COLLEGE DISTRICT</t>
  </si>
  <si>
    <t>LOS RIOS COMMUNITY COLLEGE DISTRICT</t>
  </si>
  <si>
    <t>MARIN COMMUNITY COLLEGE DISTRICT</t>
  </si>
  <si>
    <t>MENDOCINO-LAKE COMMUNITY COLLEGE DISTRICT</t>
  </si>
  <si>
    <t>MERCED COMMUNITY COLLEGE DISTRICT</t>
  </si>
  <si>
    <t>MIRACOSTA COMMUNITY COLLEGE DISTRICT</t>
  </si>
  <si>
    <t>MONTEREY PENINSULA COMMUNITY COLLEGE DISTRICT</t>
  </si>
  <si>
    <t>MT. SAN ANTONIO COMMUNITY COLLEGE DISTRICT</t>
  </si>
  <si>
    <t>MT. SAN JACINTO COMMUNITY COLLEGE DISTRICT</t>
  </si>
  <si>
    <t>NAPA VALLEY COMMUNITY COLLEGE DISTRICT</t>
  </si>
  <si>
    <t>NORTH ORANGE COUNTY COMMUNITY COLLEGE DISTRICT</t>
  </si>
  <si>
    <t>OHLONE COMMUNITY COLLEGE DISTRICT</t>
  </si>
  <si>
    <t>PALO VERDE COMMUNITY COLLEGE DISTRICT</t>
  </si>
  <si>
    <t>PALOMAR COMMUNITY COLLEGE DISTRICT</t>
  </si>
  <si>
    <t>PASADENA AREA COMMUNITY COLLEGE DISTRICT</t>
  </si>
  <si>
    <t>PERALTA COMMUNITY COLLEGE DISTRICT</t>
  </si>
  <si>
    <t>RANCHO SANTIAGO COMMUNITY COLLEGE DISTRICT</t>
  </si>
  <si>
    <t>REDWOODS COMMUNITY COLLEGE DISTRICT</t>
  </si>
  <si>
    <t>RIO HONDO COMMUNITY COLLEGE DISTRICT</t>
  </si>
  <si>
    <t>RIVERSIDE COMMUNITY COLLEGE DISTRICT</t>
  </si>
  <si>
    <t>SAN BERNARDINO COMMUNITY COLLEGE DISTRICT</t>
  </si>
  <si>
    <t>SAN DIEGO COMMUNITY COLLEGE DISTRICT</t>
  </si>
  <si>
    <t>SAN FRANCISCO COMMUNITY COLLEGE DISTRICT</t>
  </si>
  <si>
    <t>SAN JOAQUIN DELTA COMMUNITY COLLEGE DISTRICT</t>
  </si>
  <si>
    <t>SAN JOSE-EVERGREEN COMMUNITY COLLEGE DISTRICT</t>
  </si>
  <si>
    <t>SAN LUIS OBISPO COMMUNITY COLLEGE DISTRICT</t>
  </si>
  <si>
    <t>SAN MATEO COMMUNITY COLLEGE DISTRICT</t>
  </si>
  <si>
    <t>SANTA BARBARA COMMUNITY COLLEGE DISTRICT</t>
  </si>
  <si>
    <t>SANTA CLARITA COMMUNITY COLLEGE DISTRICT</t>
  </si>
  <si>
    <t>SANTA MONICA COMMUNITY COLLEGE DISTRICT</t>
  </si>
  <si>
    <t>SEQUOIAS COMMUNITY COLLEGE DISTRICT</t>
  </si>
  <si>
    <t>SHASTA-TEHAMA-TRINITY COMMUNITY COLLEGE DISTRICT</t>
  </si>
  <si>
    <t>SIERRA COMMUNITY COLLEGE DISTRICT</t>
  </si>
  <si>
    <t>SISKIYOU COMMUNITY COLLEGE DISTRICT</t>
  </si>
  <si>
    <t>SOLANO COMMUNITY COLLEGE DISTRICT</t>
  </si>
  <si>
    <t>SONOMA COMMUNITY COLLEGE DISTRICT</t>
  </si>
  <si>
    <t>SOUTH ORANGE COMMUNITY COLLEGE DISTRICT</t>
  </si>
  <si>
    <t>SOUTHWESTERN COMMUNITY COLLEGE DISTRICT</t>
  </si>
  <si>
    <t>STATE CENTER COMMUNITY COLLEGE DISTRICT</t>
  </si>
  <si>
    <t>VENTURA COMMUNITY COLLEGE DISTRICT</t>
  </si>
  <si>
    <t>VICTOR VALLEY COMMUNITY COLLEGE DISTRICT</t>
  </si>
  <si>
    <t>WEST HILLS COMMUNITY COLLEGE DISTRICT</t>
  </si>
  <si>
    <t>WEST KERN COMMUNITY COLLEGE DISTRICT</t>
  </si>
  <si>
    <t>WEST VALLEY-MISSION COMMUNITY COLLEGE DISTRICT</t>
  </si>
  <si>
    <t>YOSEMITE COMMUNITY COLLEGE DISTRICT</t>
  </si>
  <si>
    <t>YUBA COMMUNITY COLLEGE DISTRICT</t>
  </si>
  <si>
    <t>Special Admit Credit FTES</t>
  </si>
  <si>
    <t>Special Admit Noncredit FTES</t>
  </si>
  <si>
    <t>Incarcerated Credit FTES</t>
  </si>
  <si>
    <t>Incarcerated Noncredit FTES</t>
  </si>
  <si>
    <t>DATA METRIC</t>
  </si>
  <si>
    <t>DATA DEFINITION</t>
  </si>
  <si>
    <t>DATA SOURCE</t>
  </si>
  <si>
    <t>DATA NOTES</t>
  </si>
  <si>
    <t>BASE FUNDING</t>
  </si>
  <si>
    <t>FTES Numbers</t>
  </si>
  <si>
    <t>Chancellor’s Office 320 Attendance Reports and shown on District Apportionments</t>
  </si>
  <si>
    <t>Basic Allocations</t>
  </si>
  <si>
    <t>Chancellor’s Office Apportionment reports at 2017/18 P1.</t>
  </si>
  <si>
    <t>Dual Enrollment FTES</t>
  </si>
  <si>
    <t>Data Mart</t>
  </si>
  <si>
    <t>Incarcerated FTES</t>
  </si>
  <si>
    <t>SUPPLEMENTAL FUNDING</t>
  </si>
  <si>
    <t>Pell Grant Recipients</t>
  </si>
  <si>
    <t>AB 540 Students</t>
  </si>
  <si>
    <t>Chancellor’s Office 320 Attendance Reports</t>
  </si>
  <si>
    <t>MIS Runs</t>
  </si>
  <si>
    <t>Associate's Degree for Transfer (ADT)</t>
  </si>
  <si>
    <t>Associate's Degree</t>
  </si>
  <si>
    <t>Credit Certificate 16+ units</t>
  </si>
  <si>
    <t>Regional Living Wage</t>
  </si>
  <si>
    <t>MIS special run</t>
  </si>
  <si>
    <t>Assumptions</t>
  </si>
  <si>
    <t>COLA for 2019-20</t>
  </si>
  <si>
    <t>COLA for 2020-21</t>
  </si>
  <si>
    <t>2018-19 Hold Harmless</t>
  </si>
  <si>
    <t>Current COLA Projection for 2019-20</t>
  </si>
  <si>
    <t>Current COLA Projection for 2020-21</t>
  </si>
  <si>
    <t xml:space="preserve">DATA AVAILABILITY </t>
  </si>
  <si>
    <t>Each year: January, April and July.</t>
  </si>
  <si>
    <t>August each year</t>
  </si>
  <si>
    <t>Unduplicated count of 2016/17 Pell recipients by district</t>
  </si>
  <si>
    <t>October each year</t>
  </si>
  <si>
    <t>Unduplicated count of 2016/17 BOG recipients age 25 and older</t>
  </si>
  <si>
    <t>Unduplicated count of 2016/17 AB 540 students</t>
  </si>
  <si>
    <t>July each year.</t>
  </si>
  <si>
    <t>English and Math Completion in 1 year</t>
  </si>
  <si>
    <t>Unduplicated count of 2016-17 students who successfully completed both classes during the year</t>
  </si>
  <si>
    <t xml:space="preserve">Completion of 9 CTE Units </t>
  </si>
  <si>
    <t>Statewide Total</t>
  </si>
  <si>
    <t>District</t>
  </si>
  <si>
    <t>Pell 2016-17 Actual</t>
  </si>
  <si>
    <t>Allan Hancock CCD Total</t>
  </si>
  <si>
    <t>Antelope CCD Total</t>
  </si>
  <si>
    <t>Barstow CCD Total</t>
  </si>
  <si>
    <t>Butte CCD Total</t>
  </si>
  <si>
    <t>Cabrillo CCD Total</t>
  </si>
  <si>
    <t>Cerritos CCD Total</t>
  </si>
  <si>
    <t>Chabot-Las Positas CCD Total</t>
  </si>
  <si>
    <t>Chaffey CCD Total</t>
  </si>
  <si>
    <t>Citrus CCD Total</t>
  </si>
  <si>
    <t>Coast CCD Total</t>
  </si>
  <si>
    <t>Compton CCD Total</t>
  </si>
  <si>
    <t>Contra Costa CCD Total</t>
  </si>
  <si>
    <t>Copper Mountain Total</t>
  </si>
  <si>
    <t>Desert CCD Total</t>
  </si>
  <si>
    <t>El Camino CCD Total</t>
  </si>
  <si>
    <t>Feather River CCD Total</t>
  </si>
  <si>
    <t>Foothill CCD Total</t>
  </si>
  <si>
    <t>Gavilan CCD Total</t>
  </si>
  <si>
    <t>Glendale CCD Total</t>
  </si>
  <si>
    <t>Grossmont CCD Total</t>
  </si>
  <si>
    <t>Hartnell CCD Total</t>
  </si>
  <si>
    <t>Imperial CCD Total</t>
  </si>
  <si>
    <t>Kern CCD Total</t>
  </si>
  <si>
    <t>Lake Tahoe CCD Total</t>
  </si>
  <si>
    <t>Lassen CCD Total</t>
  </si>
  <si>
    <t>Long Beach CCD Total</t>
  </si>
  <si>
    <t>Los Angeles CCD Total</t>
  </si>
  <si>
    <t>Los Rios CCD Total</t>
  </si>
  <si>
    <t>Marin CCD Total</t>
  </si>
  <si>
    <t>Mendocino CCD Total</t>
  </si>
  <si>
    <t>Merced CCD Total</t>
  </si>
  <si>
    <t>MiraCosta CCD Total</t>
  </si>
  <si>
    <t>Monterey CCD Total</t>
  </si>
  <si>
    <t>Mt. San Antonio CCD Total</t>
  </si>
  <si>
    <t>Mt. San Jacinto CCD Total</t>
  </si>
  <si>
    <t>Napa CCD Total</t>
  </si>
  <si>
    <t>North Orange CCD Total</t>
  </si>
  <si>
    <t>Ohlone CCD Total</t>
  </si>
  <si>
    <t>Palo Verde CCD Total</t>
  </si>
  <si>
    <t>Palomar CCD Total</t>
  </si>
  <si>
    <t>Pasadena CCD Total</t>
  </si>
  <si>
    <t>Peralta CCD Total</t>
  </si>
  <si>
    <t>Rancho Santiago CCD Total</t>
  </si>
  <si>
    <t>Redwoods CCD Total</t>
  </si>
  <si>
    <t>Rio Hondo CCD Total</t>
  </si>
  <si>
    <t>Riverside CCD Total</t>
  </si>
  <si>
    <t>San Bernardino CCD Total</t>
  </si>
  <si>
    <t>San Diego CCD Total</t>
  </si>
  <si>
    <t>San Francisco CCD Total</t>
  </si>
  <si>
    <t>San Joaquin Delta CCD Total</t>
  </si>
  <si>
    <t>San Jose CCD Total</t>
  </si>
  <si>
    <t>San Luis Obispo CCD Total</t>
  </si>
  <si>
    <t>San Mateo CCD Total</t>
  </si>
  <si>
    <t>Santa Barbara CCD Total</t>
  </si>
  <si>
    <t>Santa Clarita CCD Total</t>
  </si>
  <si>
    <t>Santa Monica CCD Total</t>
  </si>
  <si>
    <t>Sequoias CCD Total</t>
  </si>
  <si>
    <t>Shasta Tehama CCD Total</t>
  </si>
  <si>
    <t>Sierra CCD Total</t>
  </si>
  <si>
    <t>Siskiyous CCD Total</t>
  </si>
  <si>
    <t>Solano CCD Total</t>
  </si>
  <si>
    <t>Sonoma CCD Total</t>
  </si>
  <si>
    <t>South Orange County CCD Total</t>
  </si>
  <si>
    <t>Southwestern CCD Total</t>
  </si>
  <si>
    <t>State Center CCD Total</t>
  </si>
  <si>
    <t>Ventura CCD Total</t>
  </si>
  <si>
    <t>Victor Valley CCD Total</t>
  </si>
  <si>
    <t>West Hills CCD Total</t>
  </si>
  <si>
    <t>West Kern CCD Total</t>
  </si>
  <si>
    <t>West Valley CCD Total</t>
  </si>
  <si>
    <t>Yosemite CCD Total</t>
  </si>
  <si>
    <t>Yuba CCD Total</t>
  </si>
  <si>
    <t xml:space="preserve"> </t>
  </si>
  <si>
    <t>Uses the most recent attendance reports from January 2018.  Includes 2017/18 base, restoration and projected 2018/19 growth FTES and uses 16/17 FTES actuals</t>
  </si>
  <si>
    <t>2016/17 FTES counts of dual enrolled students (predominantly high school students)</t>
  </si>
  <si>
    <t>2016/17 FTES counts of prison population taking college courses</t>
  </si>
  <si>
    <t>SUCCESS FUNDING- All Students</t>
  </si>
  <si>
    <t>Duplicated count of 2016/17 students who earned an ADT</t>
  </si>
  <si>
    <t>Data Mart.</t>
  </si>
  <si>
    <t>Transfer Students</t>
  </si>
  <si>
    <t>2016-17 count of students who transferred to a four year college in that year</t>
  </si>
  <si>
    <t>Clearing House Data</t>
  </si>
  <si>
    <t>November each year</t>
  </si>
  <si>
    <t>2016-17 MIS duplicated count awards data (not including ADTs).</t>
  </si>
  <si>
    <t xml:space="preserve">2016-17 MIS awards data. Duplicated counts of students who have received a certificate of 16 units or greater approved by the Chancellor’s Office. </t>
  </si>
  <si>
    <t xml:space="preserve">We used primary county within district for 1 Adult from MIT living wage calculator. Living wage is calculated by taking the number of students who had earnings at or above the living wages for the primary county within district boundaries for 1 Adult from the MIT living wage calculator. </t>
  </si>
  <si>
    <t>SUCCESS FUNDING- Pell Students</t>
  </si>
  <si>
    <t>Unduplicated count of 2016-17 Pell students who successfully completed both classes during the year</t>
  </si>
  <si>
    <t>Duplicated count of 2016/17 Pell students who earned an ADT</t>
  </si>
  <si>
    <t>2016-17 count of Pell students who transferred to a four year college in that year</t>
  </si>
  <si>
    <t>2016-17 MIS duplicated count awards data (not including ADTs) for Pell students</t>
  </si>
  <si>
    <t xml:space="preserve">2016-17 MIS awards data. Duplicated counts of Pell students who have received a certificate of 16 units or greater approved by the Chancellor’s Office. </t>
  </si>
  <si>
    <t>Transfer 2016-17 Actual</t>
  </si>
  <si>
    <t>2016-17 R1 - Feb (column E-G)</t>
  </si>
  <si>
    <t>2017-18 P1 - Feb (column H-V)</t>
  </si>
  <si>
    <t>2018-19 Projections (column W-AU)</t>
  </si>
  <si>
    <t>2019-20 Projections (column AV-BT)</t>
  </si>
  <si>
    <t>2020-21 Projections (column BU-CS)</t>
  </si>
  <si>
    <t>Actual FTES (Credit)</t>
  </si>
  <si>
    <t>Actual FTES (Non-Credit)</t>
  </si>
  <si>
    <t>Actual FTES (CDCP Non-Credit)</t>
  </si>
  <si>
    <t>Base FTES (Credit)</t>
  </si>
  <si>
    <t>Base FTES (Non-Credit)</t>
  </si>
  <si>
    <t>Base FTES (CDCP Non-Credit)</t>
  </si>
  <si>
    <t>Growth FTES (Credit)</t>
  </si>
  <si>
    <t>Growth FTES (Non-Credit)</t>
  </si>
  <si>
    <t>Growth FTES (CDCP Non-Credit)</t>
  </si>
  <si>
    <t>Restoration FTES (Credit)</t>
  </si>
  <si>
    <t>Restoration FTES (Non-Credit)</t>
  </si>
  <si>
    <t>Restoration FTES (CDCP Non-Credit)</t>
  </si>
  <si>
    <t>Stability FTES (Credit)</t>
  </si>
  <si>
    <t>Stability FTES (Non-Credit)</t>
  </si>
  <si>
    <t>Stability FTES (CDCP Non-Credit)</t>
  </si>
  <si>
    <t>Total Funded FTES (Credit)</t>
  </si>
  <si>
    <t>Total Funded FTES (Non-Credit)</t>
  </si>
  <si>
    <t>Total Funded  FTES (CDCP Non-Credit)</t>
  </si>
  <si>
    <t>Growth FTES (Credit)3</t>
  </si>
  <si>
    <t>Growth FTES (Non-Credit)3</t>
  </si>
  <si>
    <t>Growth FTES (CDCP Non-Credit)3</t>
  </si>
  <si>
    <r>
      <rPr>
        <b/>
        <sz val="10"/>
        <rFont val="Arial"/>
        <family val="2"/>
      </rPr>
      <t xml:space="preserve">Revised </t>
    </r>
    <r>
      <rPr>
        <sz val="10"/>
        <rFont val="Arial"/>
        <family val="2"/>
      </rPr>
      <t>Base FTES (Credit)</t>
    </r>
  </si>
  <si>
    <t>Revised Base FTES (Non-Credit)</t>
  </si>
  <si>
    <t>Revised Base FTES (CDCP Non-Credit)</t>
  </si>
  <si>
    <t>Revised Total Funded FTES (Credit)</t>
  </si>
  <si>
    <t>Revised Total Funded FTES (Non-Credit)</t>
  </si>
  <si>
    <t>Revised Total Funded  FTES (CDCP Non-Credit)</t>
  </si>
  <si>
    <t>Base FTES (Credit)2</t>
  </si>
  <si>
    <t>Base FTES (Non-Credit)2</t>
  </si>
  <si>
    <t>Base FTES (CDCP Non-Credit)2</t>
  </si>
  <si>
    <t>add back growth (but not restore)</t>
  </si>
  <si>
    <t>add back growth and restore</t>
  </si>
  <si>
    <t>92. 2019-20 Projections</t>
  </si>
  <si>
    <t>93. 2020-21 Projections</t>
  </si>
  <si>
    <t>2017-18 P1 - Feb (column C-F)</t>
  </si>
  <si>
    <t>2018-19 Projections (column H-L)</t>
  </si>
  <si>
    <t>2019-20 Projections (column N-R)</t>
  </si>
  <si>
    <t>2020-21 Projections (column T-X)</t>
  </si>
  <si>
    <t>Base Allocation</t>
  </si>
  <si>
    <t>Base Allocation Adjustment</t>
  </si>
  <si>
    <t>Base Allocation Adjustment COLA</t>
  </si>
  <si>
    <t>Base Allocation Total</t>
  </si>
  <si>
    <t>Statewide Inflation Adjustment</t>
  </si>
  <si>
    <t>CCC Funding Formula Factors for May Revision</t>
  </si>
  <si>
    <t>Base</t>
  </si>
  <si>
    <t>Base Component: 60%</t>
  </si>
  <si>
    <t>Supplemental</t>
  </si>
  <si>
    <t>Success</t>
  </si>
  <si>
    <t xml:space="preserve">Base Rate Credit </t>
  </si>
  <si>
    <t>Outside New Funding Formula Structure</t>
  </si>
  <si>
    <t>Base Rate Non-Credit</t>
  </si>
  <si>
    <t>Credit/CDCP FTES Amt</t>
  </si>
  <si>
    <t>Base Rate Non-Credit CDCP</t>
  </si>
  <si>
    <t>Districts with Differential Rates</t>
  </si>
  <si>
    <t>Base Rate Credit Special Admits / Incarcerated</t>
  </si>
  <si>
    <t>Non-Credit FTES Amt</t>
  </si>
  <si>
    <t>Non-Credit CDCP FTES Amt</t>
  </si>
  <si>
    <t>Supplemental Component: 20%</t>
  </si>
  <si>
    <t>Special Admit/Incarcerated Credit FTES Amt</t>
  </si>
  <si>
    <t>Special Admit/Incarcerated Non-Credit FTES Amt</t>
  </si>
  <si>
    <t>Supplemental Metrics</t>
  </si>
  <si>
    <t>Points
(a)</t>
  </si>
  <si>
    <t>Total Outcomes
(b)</t>
  </si>
  <si>
    <t>Total Points
(c) = (a) * (b)</t>
  </si>
  <si>
    <t>Total Dollars
(d) = (c) * $1,509</t>
  </si>
  <si>
    <t>%-to-Total</t>
  </si>
  <si>
    <t>Basic Allocation Amt</t>
  </si>
  <si>
    <t>Pell / AB 540</t>
  </si>
  <si>
    <t>BOG 25+</t>
  </si>
  <si>
    <t>Foothill-De Anza</t>
  </si>
  <si>
    <t>Lake Tahoe</t>
  </si>
  <si>
    <t>Lassen</t>
  </si>
  <si>
    <t>Supplemental Rate Per Point - 18-19</t>
  </si>
  <si>
    <t>Marin</t>
  </si>
  <si>
    <t>MiraCosta</t>
  </si>
  <si>
    <t>Student Success Incentive Component: 20%</t>
  </si>
  <si>
    <t>San Francisco</t>
  </si>
  <si>
    <t>San Jose-Evergreen</t>
  </si>
  <si>
    <t>Success Metrics (15%)</t>
  </si>
  <si>
    <t>Total Dollars
(d) = (c) * $946</t>
  </si>
  <si>
    <t>Santa Monica</t>
  </si>
  <si>
    <t>AAs</t>
  </si>
  <si>
    <t>South Orange</t>
  </si>
  <si>
    <t>ADTs</t>
  </si>
  <si>
    <t>West Kern</t>
  </si>
  <si>
    <t>Certificates 18+ units</t>
  </si>
  <si>
    <t>9 CTE Units</t>
  </si>
  <si>
    <t>COLA Assumptions</t>
  </si>
  <si>
    <t>Transfer</t>
  </si>
  <si>
    <t>2018-19</t>
  </si>
  <si>
    <t>Math and English</t>
  </si>
  <si>
    <t>2019-20</t>
  </si>
  <si>
    <t>Living Wage</t>
  </si>
  <si>
    <t>2020-21</t>
  </si>
  <si>
    <t>Success Rate per Point - 18-19</t>
  </si>
  <si>
    <t>Success Metrics for Pell Students (5%)</t>
  </si>
  <si>
    <t>Total Dollars
(d) = (c) * $735</t>
  </si>
  <si>
    <t>ADTs (Pell)</t>
  </si>
  <si>
    <t>Certificates 18+ units (Pell)</t>
  </si>
  <si>
    <t>9 CTE Units (Pell)</t>
  </si>
  <si>
    <t>Transfer (Pell)</t>
  </si>
  <si>
    <t>Math and English (Pell)</t>
  </si>
  <si>
    <t>Living Wage (Pell)</t>
  </si>
  <si>
    <t>Pell Student Success Rate per Point - 18-19</t>
  </si>
  <si>
    <t>Pell / AB540</t>
  </si>
  <si>
    <t>18 - '19 Equity Supplement Dollars</t>
  </si>
  <si>
    <t>Certificates 18+</t>
  </si>
  <si>
    <t>18 - '19 Success Grant Dollars - All Students</t>
  </si>
  <si>
    <t xml:space="preserve">Transfer </t>
  </si>
  <si>
    <t>18 - '19 Success Grant Dollars - Equity Student Bonus</t>
  </si>
  <si>
    <t>$ per outcome</t>
  </si>
  <si>
    <t>Supplement Total</t>
  </si>
  <si>
    <t>Successs Total</t>
  </si>
  <si>
    <t>Credit FTES Revenue</t>
  </si>
  <si>
    <t>ANTELOPE VALLEY CCD</t>
  </si>
  <si>
    <t>ALLAN HANCOCK CCD</t>
  </si>
  <si>
    <t>BARSTOW CCD</t>
  </si>
  <si>
    <t>BUTTE CCD</t>
  </si>
  <si>
    <t>CABRILLO CCD</t>
  </si>
  <si>
    <t>CERRITOS CCD</t>
  </si>
  <si>
    <t>CHABOT-LAS POSITAS CCD</t>
  </si>
  <si>
    <t>CHAFFEY CCD</t>
  </si>
  <si>
    <t>CITRUS CCD</t>
  </si>
  <si>
    <t>COAST CCD</t>
  </si>
  <si>
    <t>COMPTON CCD</t>
  </si>
  <si>
    <t>CONTRA COSTA CCD</t>
  </si>
  <si>
    <t>COPPER MT. CCD</t>
  </si>
  <si>
    <t>DESERT CCD</t>
  </si>
  <si>
    <t>EL CAMINO CCD</t>
  </si>
  <si>
    <t>FEATHER RIVER CCD</t>
  </si>
  <si>
    <t>FOOTHILL-DEANZA CCD</t>
  </si>
  <si>
    <t>GAVILAN CCD</t>
  </si>
  <si>
    <t>GLENDALE CCD</t>
  </si>
  <si>
    <t>GROSSMONT-CUYAMACA CCD</t>
  </si>
  <si>
    <t>HARTNELL CCD</t>
  </si>
  <si>
    <t>IMPERIAL CCD</t>
  </si>
  <si>
    <t>KERN CCD</t>
  </si>
  <si>
    <t>LAKE TAHOE CCD</t>
  </si>
  <si>
    <t>LASSEN CCD</t>
  </si>
  <si>
    <t>LONG BEACH CCD</t>
  </si>
  <si>
    <t>LOS ANGELES CCD</t>
  </si>
  <si>
    <t>LOS RIOS CCD</t>
  </si>
  <si>
    <t>MARIN CCD</t>
  </si>
  <si>
    <t>MENDOCINO-LAKE CCD</t>
  </si>
  <si>
    <t>MERCED CCD</t>
  </si>
  <si>
    <t>MIRACOSTA CCD</t>
  </si>
  <si>
    <t>MONTEREY PENINSULA CCD</t>
  </si>
  <si>
    <t>MT. SAN ANTONIO CCD</t>
  </si>
  <si>
    <t>MT. SAN JACINTO CCD</t>
  </si>
  <si>
    <t>NAPA VALLEY CCD</t>
  </si>
  <si>
    <t>NORTH ORANGE COUNTY CCD</t>
  </si>
  <si>
    <t>OHLONE CCD</t>
  </si>
  <si>
    <t>PALO VERDE CCD</t>
  </si>
  <si>
    <t>PALOMAR CCD</t>
  </si>
  <si>
    <t>PASADENA AREA CCD</t>
  </si>
  <si>
    <t>PERALTA CCD</t>
  </si>
  <si>
    <t>RANCHO SANTIAGO CCD</t>
  </si>
  <si>
    <t>REDWOODS CCD</t>
  </si>
  <si>
    <t>RIO HONDO CCD</t>
  </si>
  <si>
    <t>RIVERSIDE CCD</t>
  </si>
  <si>
    <t>SAN BERNARDINO CCD</t>
  </si>
  <si>
    <t>SAN DIEGO CCD</t>
  </si>
  <si>
    <t>SAN FRANCISCO CCD</t>
  </si>
  <si>
    <t>SAN JOAQUIN DELTA CCD</t>
  </si>
  <si>
    <t>SAN JOSE-EVERGREEN CCD</t>
  </si>
  <si>
    <t>SAN LUIS OBISPO CCD</t>
  </si>
  <si>
    <t>SAN MATEO CCD</t>
  </si>
  <si>
    <t>SANTA BARBARA CCD</t>
  </si>
  <si>
    <t>SANTA CLARITA CCD</t>
  </si>
  <si>
    <t>SANTA MONICA CCD</t>
  </si>
  <si>
    <t>SEQUOIAS CCD</t>
  </si>
  <si>
    <t>SHASTA-TEHAMA-TRINITY CCD</t>
  </si>
  <si>
    <t>SIERRA CCD</t>
  </si>
  <si>
    <t>SISKIYOU CCD</t>
  </si>
  <si>
    <t>SOLANO CCD</t>
  </si>
  <si>
    <t>SONOMA CCD</t>
  </si>
  <si>
    <t>SOUTH ORANGE CCD</t>
  </si>
  <si>
    <t>SOUTHWESTERN CCD</t>
  </si>
  <si>
    <t>STATE CENTER CCD</t>
  </si>
  <si>
    <t>VENTURA CCD</t>
  </si>
  <si>
    <t>VICTOR VALLEY CCD</t>
  </si>
  <si>
    <t>WEST HILLS CCD</t>
  </si>
  <si>
    <t>WEST KERN CCD</t>
  </si>
  <si>
    <t>WEST VALLEY-MISSION CCD</t>
  </si>
  <si>
    <t>YOSEMITE CCD</t>
  </si>
  <si>
    <t>YUBA CCD</t>
  </si>
  <si>
    <t>Base Credit</t>
  </si>
  <si>
    <t xml:space="preserve">Base Non-Credit </t>
  </si>
  <si>
    <t>Base CDCP</t>
  </si>
  <si>
    <t>Credit Growth</t>
  </si>
  <si>
    <t>Non-Credit Growth</t>
  </si>
  <si>
    <t>CDCP Growth</t>
  </si>
  <si>
    <t>Non Credit FTES Revenue</t>
  </si>
  <si>
    <t>CDCP FTES Revenue</t>
  </si>
  <si>
    <t>$ per FTES</t>
  </si>
  <si>
    <t>Special Admit Revenue</t>
  </si>
  <si>
    <t>S.A Credit</t>
  </si>
  <si>
    <t>INC Credit</t>
  </si>
  <si>
    <t>INC Non-Credit</t>
  </si>
  <si>
    <t>Total Base Revenue</t>
  </si>
  <si>
    <t>New Revised Total Funded FTES (CDCP Non-Credit)</t>
  </si>
  <si>
    <t>Transfers 2016-17 Actual</t>
  </si>
  <si>
    <t>Transfers 5-Year PY Average</t>
  </si>
  <si>
    <t>Transfers 2017-18 Projected</t>
  </si>
  <si>
    <t>Transfers 2018-19 Projected</t>
  </si>
  <si>
    <t>Transfers 2019-20 Projected</t>
  </si>
  <si>
    <t>COLA for 2018-19</t>
  </si>
  <si>
    <t>Current COLA Projection for 2018-19</t>
  </si>
  <si>
    <t>Incarcerated Revenue</t>
  </si>
  <si>
    <t>Plus COLA</t>
  </si>
  <si>
    <t>18-19 Rates w/ COLA</t>
  </si>
  <si>
    <t>Total Computational Revenue for '18 - '19</t>
  </si>
  <si>
    <t>2018-19 Hold Harmless + Adjustable Resources</t>
  </si>
  <si>
    <t>Adjustable Resources from Hold Harmless</t>
  </si>
  <si>
    <t>Hold Harmless</t>
  </si>
  <si>
    <t>% of Total</t>
  </si>
  <si>
    <t>Year to Year % Change</t>
  </si>
  <si>
    <t>2018-19 @ GB:</t>
  </si>
  <si>
    <t>Difference:</t>
  </si>
  <si>
    <t>COLA</t>
  </si>
  <si>
    <t>Total Resources for '18-'19</t>
  </si>
  <si>
    <t>Base Component Resources for '18-'19</t>
  </si>
  <si>
    <t>$ per student</t>
  </si>
  <si>
    <t>Basic Allocation</t>
  </si>
  <si>
    <t>Base Credit, Non Credit, and CDCP FTES values are 3 yr. averages of '16-'17 Actual FTES, '17-'18 P1 Actual FTES, and '18-'19 Projected Funded FTES (without growth). Double Counting from Special Admit Credit, and Incarcerated Credit/NC are subtracted from the base.</t>
  </si>
  <si>
    <t>DOF</t>
  </si>
  <si>
    <t>2017-18 P1</t>
  </si>
  <si>
    <t>2018-19 projection</t>
  </si>
  <si>
    <t>Base Rate before COLA</t>
  </si>
  <si>
    <t>2017-18 COLA</t>
  </si>
  <si>
    <t>Base Rate after COLA</t>
  </si>
  <si>
    <t>Base Increase</t>
  </si>
  <si>
    <t>funded FTES + basic allocation</t>
  </si>
  <si>
    <t>Total FTES</t>
  </si>
  <si>
    <t>$ Base Increase</t>
  </si>
  <si>
    <t>% Base Increase</t>
  </si>
  <si>
    <t>Base Rate after COLA and Base Increase</t>
  </si>
  <si>
    <t>2018-19 COLA</t>
  </si>
  <si>
    <t>credit</t>
  </si>
  <si>
    <t>noncredit</t>
  </si>
  <si>
    <t>CDCP</t>
  </si>
  <si>
    <t>GOVERNOR’S MAYREVISION FUNDING FORMULA DATA SHEET</t>
  </si>
  <si>
    <t>Uses a three year average of 16/17 Actual FTES, 2017/18 P1 Actual FTES and 2018/19 Projected FTES including base, stability/restoration and growth</t>
  </si>
  <si>
    <t>District basic allocations from 2017/18 P1 budget year COLA of 2.71%</t>
  </si>
  <si>
    <t>BOG (Promise) Grant Recipients age 25 and older</t>
  </si>
  <si>
    <t xml:space="preserve">Unduplicated count of students who completed 9 CTE units or greater in 2016/17. </t>
  </si>
  <si>
    <t xml:space="preserve">Data Mart </t>
  </si>
  <si>
    <t>Number of non-transfer students who were enrolled in 2015/16 and who attained the regional living wage in 2016/17.</t>
  </si>
  <si>
    <t xml:space="preserve">Number of non-transfer Pell students who were enrolled in 2015/16 and who attained the regional living wage in 2016/17. </t>
  </si>
  <si>
    <t>Instructions</t>
  </si>
  <si>
    <r>
      <t xml:space="preserve">This is a simulation of the new funding formula for 2018 - 2019. You may change values to simulate possible outcomes for your district and/or the whole California Community College system.
</t>
    </r>
    <r>
      <rPr>
        <b/>
        <sz val="10"/>
        <color theme="1"/>
        <rFont val="Calibri"/>
        <family val="2"/>
        <scheme val="minor"/>
      </rPr>
      <t xml:space="preserve">
Make sure to have Calculations (in the Formulas Tab) set to Automatic in order to make modifications work.</t>
    </r>
    <r>
      <rPr>
        <sz val="10"/>
        <color theme="1"/>
        <rFont val="Calibri"/>
        <family val="2"/>
        <scheme val="minor"/>
      </rPr>
      <t xml:space="preserve">
To modify COLA rates, change the values in Cells K2 - K4 in tab "MacroInformation"
To modify weighting of success metrics, change the "Points" values in Cells B16 - B45 in tab "Weighting Factors"
To modify FTES, Headcount, or Outcomes Data for your district, change the values in the corresponding cells in the Data tabs.  For Supplement and Success data modification, change the values in the 2017 - 2018 Projected Columns on those tabs.
The "Weighting Factors" tab shows the systemwide budget spread and the weights given to each metric according to the new formula.
The "Allocations" tab shows each district's allocated revenue separated by base, equity, and success, as well as the year-to-year change.
The "Base $" "Supplement $" and "Success $" tabs show the revenue generated from each individual unit of FTES, Headcount, and Outcome per the new funding formula.
The Data Tabs present the data used to allocate the budgets, as defined on tab "Data Definitions."
</t>
    </r>
  </si>
  <si>
    <r>
      <rPr>
        <vertAlign val="superscript"/>
        <sz val="11"/>
        <color theme="1"/>
        <rFont val="Calibri"/>
        <family val="2"/>
        <scheme val="minor"/>
      </rPr>
      <t>1</t>
    </r>
    <r>
      <rPr>
        <sz val="11"/>
        <color theme="1"/>
        <rFont val="Calibri"/>
        <family val="2"/>
        <scheme val="minor"/>
      </rPr>
      <t xml:space="preserve"> In 2018-19, districts that would grow less than 2.71% from 2017-18 to 2018-19 will receive one-time discretionary resources equal to a year-over-year growth of 2.71%.  In 2019-20, districts will be held harmless to the level of funding the district received in 2017-18. In 2020-21 and each year thereafter, each district will be held harmless to their 2017-18 per-FTES rate multiplied by the district's new FTES. </t>
    </r>
  </si>
  <si>
    <r>
      <rPr>
        <vertAlign val="superscript"/>
        <sz val="11"/>
        <color theme="1"/>
        <rFont val="Calibri"/>
        <family val="2"/>
        <scheme val="minor"/>
      </rPr>
      <t xml:space="preserve">2 </t>
    </r>
    <r>
      <rPr>
        <sz val="11"/>
        <color theme="1"/>
        <rFont val="Calibri"/>
        <family val="2"/>
        <scheme val="minor"/>
      </rPr>
      <t xml:space="preserve">Districts with high enrollment of Pell Grant and AB 540 students as a percent of credit FTES and associate degrees as a percent of credit FTES generally display higher allocations under the proposed new formula. This is for display purposes only intended to provide context for differences in growth between districts. </t>
    </r>
  </si>
  <si>
    <t>Prior Base Rate</t>
  </si>
  <si>
    <t>18 - '19 Rates</t>
  </si>
  <si>
    <t>Prior Base Credit Rate</t>
  </si>
  <si>
    <t>18/'19 Rate</t>
  </si>
  <si>
    <r>
      <rPr>
        <vertAlign val="superscript"/>
        <sz val="11"/>
        <color theme="1"/>
        <rFont val="Calibri"/>
        <family val="2"/>
        <scheme val="minor"/>
      </rPr>
      <t>3</t>
    </r>
    <r>
      <rPr>
        <sz val="11"/>
        <color theme="1"/>
        <rFont val="Calibri"/>
        <family val="2"/>
        <scheme val="minor"/>
      </rPr>
      <t xml:space="preserve"> Until 2024-25, Compton CCD and San Francisco CCD will receive the greater of the revised funding formula or the 2017 -18 general apportionment amount with COLA to reflect statutory provisions specific to these districts.</t>
    </r>
  </si>
  <si>
    <t>2018-19 @ Proposed MR:</t>
  </si>
  <si>
    <t>Notes</t>
  </si>
  <si>
    <r>
      <rPr>
        <vertAlign val="superscript"/>
        <sz val="10"/>
        <color theme="1"/>
        <rFont val="Calibri"/>
        <family val="2"/>
        <scheme val="minor"/>
      </rPr>
      <t>1</t>
    </r>
    <r>
      <rPr>
        <sz val="10"/>
        <color theme="1"/>
        <rFont val="Calibri"/>
        <family val="2"/>
        <scheme val="minor"/>
      </rPr>
      <t xml:space="preserve"> Total counts for supplemental and student success incentive allocations are based on prior year data and adjusted by a 5-year average rate of change.</t>
    </r>
  </si>
  <si>
    <r>
      <rPr>
        <vertAlign val="superscript"/>
        <sz val="10"/>
        <color theme="1"/>
        <rFont val="Calibri"/>
        <family val="2"/>
        <scheme val="minor"/>
      </rPr>
      <t>2</t>
    </r>
    <r>
      <rPr>
        <sz val="10"/>
        <color theme="1"/>
        <rFont val="Calibri"/>
        <family val="2"/>
        <scheme val="minor"/>
      </rPr>
      <t xml:space="preserve"> Includes successful counts of students receiving Pell Grants.</t>
    </r>
  </si>
  <si>
    <t>(a) Assumes Restoration of 2017-18 Summer Shift FTES in 2018-19 less 0.34% of applicable FTES</t>
  </si>
  <si>
    <t>(a) Assumes 2018-19 Stability is roughly the same as in 2017-18</t>
  </si>
  <si>
    <t>(a) Assumes 2018-19 Restoration is consistent with 2017-18 Restoration</t>
  </si>
  <si>
    <t>(a) Assumes No Restoration in 2018-19 associated with 2017-18 FTES shift from Credit to Non-Credit Instruction</t>
  </si>
  <si>
    <t>(a) Assumes Stability Associated with Summer Shift that's equal to 2017-18 Restoration FTES less 0.34% of applicable FTES</t>
  </si>
  <si>
    <t>(a) Assumes District's Summer Shift ends because of Growth in 2017-18.</t>
  </si>
  <si>
    <t>(a) Assumes 2018-19 Stability is roughly 20% of the district's 2017-18 Stability</t>
  </si>
  <si>
    <t>(a) Assumes No Additional Restoration is available in 2018-19</t>
  </si>
  <si>
    <t>(a) Assumes 2018-19 Restoration is roughly 20% of the District's 2017-18 Restoration</t>
  </si>
  <si>
    <t>(a) Assumes 2018-19 Stability is roughly 50% of the district's 2017-18 Stability</t>
  </si>
  <si>
    <t>(a) Assumes 2018-19 Stability is roughly 40% of the district's 2017-18 Stability</t>
  </si>
  <si>
    <t>STATEWIDE TOTAL COMMUNITY COLLEGE DISTRICT</t>
  </si>
  <si>
    <r>
      <rPr>
        <vertAlign val="superscript"/>
        <sz val="10"/>
        <rFont val="Arial"/>
        <family val="2"/>
      </rPr>
      <t>1</t>
    </r>
    <r>
      <rPr>
        <sz val="10"/>
        <rFont val="Arial"/>
        <family val="2"/>
      </rPr>
      <t xml:space="preserve"> 2018-19 Base Rates account for 2017-18 COLA of 1.56% and the $183.6 million dollar 2017-18 Base Increase. The base increase assumes the rates increase by the $183.6 million divided by Actual 2017-18 P1 FTES. </t>
    </r>
  </si>
  <si>
    <r>
      <rPr>
        <vertAlign val="superscript"/>
        <sz val="10"/>
        <rFont val="Arial"/>
        <family val="2"/>
      </rPr>
      <t>2</t>
    </r>
    <r>
      <rPr>
        <sz val="10"/>
        <rFont val="Arial"/>
        <family val="2"/>
      </rPr>
      <t xml:space="preserve"> The 2018-19 Base FTES figures are derived using the 2017-18 P1 Actual FTES Columns.</t>
    </r>
  </si>
  <si>
    <r>
      <rPr>
        <vertAlign val="superscript"/>
        <sz val="10"/>
        <rFont val="Arial"/>
        <family val="2"/>
      </rPr>
      <t>3</t>
    </r>
    <r>
      <rPr>
        <sz val="10"/>
        <rFont val="Arial"/>
        <family val="2"/>
      </rPr>
      <t xml:space="preserve"> 2018-19 district growth rates are held constant to 2017-18 growth rates. </t>
    </r>
  </si>
  <si>
    <t>These are DOF Assumptions</t>
  </si>
  <si>
    <t>2018/19 Base Revenue Dollars</t>
  </si>
  <si>
    <t>2017/18 General Apportionments</t>
  </si>
  <si>
    <t>Difference from 2017/18</t>
  </si>
  <si>
    <t>One Time Allocation of 2.71 %</t>
  </si>
  <si>
    <t>2018-19 New Allocation</t>
  </si>
  <si>
    <t>Supplement Allocation</t>
  </si>
  <si>
    <t xml:space="preserve">Student Success Allocation </t>
  </si>
  <si>
    <t>2018/19 New Formula</t>
  </si>
  <si>
    <t>AAs/BAs 2016-17 Actual</t>
  </si>
  <si>
    <t>AAs/BAs 2017-18 Projected</t>
  </si>
  <si>
    <t>AA/BAs 2018-19 Projected</t>
  </si>
  <si>
    <t>AAs/BAs 2019-20 Projected</t>
  </si>
  <si>
    <t>Transfer Level M&amp;E 2016-17 Actual</t>
  </si>
  <si>
    <t>Transfer Level M&amp;E 5-Year PY Average</t>
  </si>
  <si>
    <t>Transfer Level M&amp;E 2017-18 Projected</t>
  </si>
  <si>
    <t>Transfer Level M&amp;E 2018-19 Projected</t>
  </si>
  <si>
    <t>Transfer Level M&amp;E 2019-20 Projected</t>
  </si>
  <si>
    <t>AAs/BAs 5-Year PY Average</t>
  </si>
  <si>
    <t>Number of colleges and centers funded per the 2017/18 P1 Apportionment plus budget year COLA .</t>
  </si>
  <si>
    <t>Unduplicated count of  Pell students who completed 9 CTE units or greater in 2016/17</t>
  </si>
  <si>
    <t>Used existing data about the number of certificates 18 units or greater, which is the data available at this time. If, subsequent to the 2017-18 fiscal year, the Chancellor’s Office adopts regulations authorizing the approval and issuance of certificates requiring 16 or more units that data will be used next year and in subsequent years.</t>
  </si>
  <si>
    <r>
      <t xml:space="preserve">Compton CCD Total </t>
    </r>
    <r>
      <rPr>
        <vertAlign val="superscript"/>
        <sz val="14"/>
        <rFont val="Calibri"/>
        <family val="2"/>
        <scheme val="minor"/>
      </rPr>
      <t>3</t>
    </r>
  </si>
  <si>
    <r>
      <t xml:space="preserve">Marin CCD Total </t>
    </r>
    <r>
      <rPr>
        <vertAlign val="superscript"/>
        <sz val="14"/>
        <rFont val="Calibri"/>
        <family val="2"/>
        <scheme val="minor"/>
      </rPr>
      <t>2</t>
    </r>
  </si>
  <si>
    <r>
      <t xml:space="preserve">MiraCosta CCD Total </t>
    </r>
    <r>
      <rPr>
        <vertAlign val="superscript"/>
        <sz val="14"/>
        <rFont val="Calibri"/>
        <family val="2"/>
        <scheme val="minor"/>
      </rPr>
      <t>2</t>
    </r>
  </si>
  <si>
    <r>
      <t xml:space="preserve">San Francisco CCD Total </t>
    </r>
    <r>
      <rPr>
        <vertAlign val="superscript"/>
        <sz val="14"/>
        <rFont val="Calibri"/>
        <family val="2"/>
        <scheme val="minor"/>
      </rPr>
      <t>3</t>
    </r>
  </si>
  <si>
    <r>
      <t xml:space="preserve">San Jose CCD Total </t>
    </r>
    <r>
      <rPr>
        <vertAlign val="superscript"/>
        <sz val="14"/>
        <rFont val="Calibri"/>
        <family val="2"/>
        <scheme val="minor"/>
      </rPr>
      <t>2</t>
    </r>
  </si>
  <si>
    <r>
      <t xml:space="preserve">San Mateo CCD Total </t>
    </r>
    <r>
      <rPr>
        <vertAlign val="superscript"/>
        <sz val="14"/>
        <rFont val="Calibri"/>
        <family val="2"/>
        <scheme val="minor"/>
      </rPr>
      <t>2</t>
    </r>
  </si>
  <si>
    <r>
      <t xml:space="preserve">South Orange County CCD Total </t>
    </r>
    <r>
      <rPr>
        <vertAlign val="superscript"/>
        <sz val="14"/>
        <rFont val="Calibri"/>
        <family val="2"/>
        <scheme val="minor"/>
      </rPr>
      <t>2</t>
    </r>
  </si>
  <si>
    <r>
      <t>West Valley CCD Total</t>
    </r>
    <r>
      <rPr>
        <vertAlign val="superscript"/>
        <sz val="14"/>
        <rFont val="Calibri"/>
        <family val="2"/>
        <scheme val="minor"/>
      </rPr>
      <t xml:space="preserv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</si>
</sst>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0.000%"/>
    <numFmt numFmtId="167" formatCode="_(&quot;$&quot;* #,##0_);_(&quot;$&quot;* \(#,##0\);_(&quot;$&quot;* &quot;-&quot;??_);_(@_)"/>
    <numFmt numFmtId="168" formatCode="0.00000000000%"/>
    <numFmt numFmtId="169" formatCode="#,##0.0_);\(#,##0.0\)"/>
    <numFmt numFmtId="170" formatCode="_(&quot;$&quot;* #,##0.000_);_(&quot;$&quot;* \(#,##0.000\);_(&quot;$&quot;* &quot;-&quot;??_);_(@_)"/>
    <numFmt numFmtId="171" formatCode="_(* #,##0.0000_);_(* \(#,##0.0000\);_(* &quot;-&quot;??_);_(@_)"/>
    <numFmt numFmtId="172" formatCode="_(* #,##0.000000_);_(* \(#,##0.000000\);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8.25"/>
      <color rgb="FF000000"/>
      <name val="Tahoma"/>
      <family val="2"/>
    </font>
    <font>
      <b/>
      <sz val="11"/>
      <color rgb="FF000000"/>
      <name val="Calibri"/>
      <family val="2"/>
    </font>
    <font>
      <sz val="10"/>
      <name val="MS Sans Serif"/>
      <family val="2"/>
    </font>
    <font>
      <sz val="10"/>
      <name val="Arial"/>
      <family val="2"/>
    </font>
    <font>
      <b/>
      <sz val="12"/>
      <name val="Calibri"/>
      <family val="2"/>
      <scheme val="minor"/>
    </font>
    <font>
      <sz val="12"/>
      <name val="Calibri"/>
      <family val="2"/>
      <scheme val="minor"/>
    </font>
    <font>
      <b/>
      <sz val="10"/>
      <name val="Arial"/>
      <family val="2"/>
    </font>
    <font>
      <sz val="11"/>
      <color rgb="FF000000"/>
      <name val="Calibri"/>
      <family val="2"/>
      <scheme val="minor"/>
    </font>
    <font>
      <sz val="10"/>
      <color theme="1"/>
      <name val="Calibri"/>
      <family val="2"/>
      <scheme val="minor"/>
    </font>
    <font>
      <sz val="14"/>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sz val="12"/>
      <color rgb="FF000000"/>
      <name val="Calibri"/>
      <family val="2"/>
      <scheme val="minor"/>
    </font>
    <font>
      <b/>
      <sz val="14"/>
      <color theme="1"/>
      <name val="Calibri"/>
      <family val="2"/>
      <scheme val="minor"/>
    </font>
    <font>
      <b/>
      <sz val="10"/>
      <color theme="1"/>
      <name val="Calibri"/>
      <family val="2"/>
      <scheme val="minor"/>
    </font>
    <font>
      <sz val="11"/>
      <name val="Calibri"/>
      <family val="2"/>
      <scheme val="minor"/>
    </font>
    <font>
      <b/>
      <i/>
      <sz val="20"/>
      <color theme="1"/>
      <name val="Calibri"/>
      <family val="2"/>
      <scheme val="minor"/>
    </font>
    <font>
      <vertAlign val="superscript"/>
      <sz val="11"/>
      <color theme="1"/>
      <name val="Calibri"/>
      <family val="2"/>
      <scheme val="minor"/>
    </font>
    <font>
      <b/>
      <sz val="16"/>
      <color theme="1"/>
      <name val="Calibri"/>
      <family val="2"/>
      <scheme val="minor"/>
    </font>
    <font>
      <vertAlign val="superscript"/>
      <sz val="10"/>
      <color theme="1"/>
      <name val="Calibri"/>
      <family val="2"/>
      <scheme val="minor"/>
    </font>
    <font>
      <vertAlign val="superscript"/>
      <sz val="10"/>
      <name val="Arial"/>
      <family val="2"/>
    </font>
    <font>
      <b/>
      <sz val="12"/>
      <name val="Arial"/>
      <family val="2"/>
    </font>
    <font>
      <b/>
      <sz val="14"/>
      <name val="Arial"/>
      <family val="2"/>
    </font>
    <font>
      <sz val="14"/>
      <name val="Calibri"/>
      <family val="2"/>
      <scheme val="minor"/>
    </font>
    <font>
      <sz val="14"/>
      <name val="Arial"/>
      <family val="2"/>
    </font>
    <font>
      <vertAlign val="superscript"/>
      <sz val="14"/>
      <name val="Calibri"/>
      <family val="2"/>
      <scheme val="minor"/>
    </font>
    <font>
      <b/>
      <sz val="14"/>
      <color rgb="FF00000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9D9D9"/>
        <bgColor indexed="64"/>
      </patternFill>
    </fill>
    <fill>
      <patternFill patternType="solid">
        <fgColor rgb="FFD0CECE"/>
        <bgColor indexed="64"/>
      </patternFill>
    </fill>
    <fill>
      <patternFill patternType="solid">
        <fgColor rgb="FFFFFFCC"/>
        <bgColor indexed="64"/>
      </patternFill>
    </fill>
    <fill>
      <patternFill patternType="solid">
        <fgColor rgb="FFCCFFCC"/>
        <bgColor indexed="64"/>
      </patternFill>
    </fill>
    <fill>
      <patternFill patternType="solid">
        <fgColor rgb="FFFFCCCC"/>
        <bgColor indexed="64"/>
      </patternFill>
    </fill>
    <fill>
      <patternFill patternType="solid">
        <fgColor rgb="FF99FFCC"/>
        <bgColor indexed="64"/>
      </patternFill>
    </fill>
    <fill>
      <patternFill patternType="solid">
        <fgColor rgb="FFFF0000"/>
        <bgColor indexed="64"/>
      </patternFill>
    </fill>
    <fill>
      <patternFill patternType="solid">
        <fgColor rgb="FFCCECFF"/>
        <bgColor indexed="64"/>
      </patternFill>
    </fill>
    <fill>
      <patternFill patternType="solid">
        <fgColor rgb="FFFFCCFF"/>
        <bgColor indexed="64"/>
      </patternFill>
    </fill>
    <fill>
      <patternFill patternType="solid">
        <fgColor rgb="FFFF99CC"/>
        <bgColor indexed="64"/>
      </patternFill>
    </fill>
    <fill>
      <patternFill patternType="solid">
        <fgColor rgb="FFCC99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1E8F8"/>
        <bgColor indexed="64"/>
      </patternFill>
    </fill>
  </fills>
  <borders count="34">
    <border>
      <left/>
      <right/>
      <top/>
      <bottom/>
      <diagonal/>
    </border>
    <border>
      <left style="thin">
        <color rgb="FF808080"/>
      </left>
      <right style="thin">
        <color rgb="FF808080"/>
      </right>
      <top/>
      <bottom/>
      <diagonal/>
    </border>
    <border>
      <left style="thin">
        <color auto="1"/>
      </left>
      <right/>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7" fillId="0" borderId="0"/>
    <xf numFmtId="44" fontId="1"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6" fillId="0" borderId="0"/>
  </cellStyleXfs>
  <cellXfs count="329">
    <xf numFmtId="0" fontId="0" fillId="0" borderId="0" xfId="0"/>
    <xf numFmtId="0" fontId="2" fillId="0" borderId="0" xfId="0" applyFont="1"/>
    <xf numFmtId="0" fontId="2" fillId="0" borderId="0" xfId="0" applyFont="1" applyFill="1"/>
    <xf numFmtId="0" fontId="0" fillId="0" borderId="0" xfId="0" applyFill="1"/>
    <xf numFmtId="0" fontId="0" fillId="0" borderId="0" xfId="0" applyAlignment="1">
      <alignment wrapText="1"/>
    </xf>
    <xf numFmtId="0" fontId="3" fillId="0" borderId="0" xfId="0" applyFont="1" applyFill="1"/>
    <xf numFmtId="0" fontId="2" fillId="0" borderId="0" xfId="0" applyFont="1" applyAlignment="1">
      <alignment horizontal="center" wrapText="1"/>
    </xf>
    <xf numFmtId="0" fontId="0" fillId="0" borderId="0" xfId="0" applyFont="1"/>
    <xf numFmtId="0" fontId="8" fillId="0" borderId="0" xfId="4" applyFont="1" applyBorder="1" applyAlignment="1">
      <alignment horizontal="center" wrapText="1"/>
    </xf>
    <xf numFmtId="0" fontId="9" fillId="0" borderId="0" xfId="4" applyFont="1" applyBorder="1"/>
    <xf numFmtId="0" fontId="2" fillId="0" borderId="6" xfId="0" applyFont="1" applyBorder="1" applyAlignment="1">
      <alignment vertical="center" wrapText="1"/>
    </xf>
    <xf numFmtId="0" fontId="0" fillId="0" borderId="7" xfId="0" applyBorder="1" applyAlignment="1">
      <alignment vertical="center" wrapText="1"/>
    </xf>
    <xf numFmtId="0" fontId="11" fillId="0" borderId="7" xfId="0" applyFont="1" applyBorder="1" applyAlignment="1">
      <alignment vertical="center" wrapText="1"/>
    </xf>
    <xf numFmtId="0" fontId="12" fillId="0" borderId="6" xfId="0" applyFont="1" applyBorder="1" applyAlignment="1">
      <alignmen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2" fillId="4" borderId="6" xfId="0" applyFont="1" applyFill="1" applyBorder="1" applyAlignment="1">
      <alignment vertical="center" wrapText="1"/>
    </xf>
    <xf numFmtId="0" fontId="0" fillId="4" borderId="7" xfId="0" applyFill="1" applyBorder="1" applyAlignment="1">
      <alignment vertical="center" wrapText="1"/>
    </xf>
    <xf numFmtId="0" fontId="2" fillId="5" borderId="6" xfId="0" applyFont="1" applyFill="1" applyBorder="1" applyAlignment="1">
      <alignment vertical="center" wrapText="1"/>
    </xf>
    <xf numFmtId="0" fontId="0" fillId="5" borderId="7" xfId="0" applyFill="1" applyBorder="1" applyAlignment="1">
      <alignment vertical="center" wrapText="1"/>
    </xf>
    <xf numFmtId="10" fontId="0" fillId="0" borderId="0" xfId="0" applyNumberFormat="1" applyAlignment="1">
      <alignment wrapText="1"/>
    </xf>
    <xf numFmtId="10" fontId="0" fillId="0" borderId="0" xfId="0" applyNumberFormat="1"/>
    <xf numFmtId="0" fontId="2" fillId="0" borderId="0" xfId="0" applyFont="1" applyFill="1" applyAlignment="1">
      <alignment horizontal="center" wrapText="1"/>
    </xf>
    <xf numFmtId="37" fontId="3" fillId="0" borderId="0" xfId="0" applyNumberFormat="1" applyFont="1"/>
    <xf numFmtId="37" fontId="5" fillId="0" borderId="0" xfId="0" applyNumberFormat="1" applyFont="1"/>
    <xf numFmtId="37" fontId="0" fillId="0" borderId="0" xfId="0" applyNumberFormat="1" applyFill="1"/>
    <xf numFmtId="37" fontId="0" fillId="0" borderId="0" xfId="0" applyNumberFormat="1"/>
    <xf numFmtId="37" fontId="2" fillId="0" borderId="0" xfId="0" applyNumberFormat="1" applyFont="1"/>
    <xf numFmtId="37" fontId="3" fillId="0" borderId="0" xfId="1" applyNumberFormat="1" applyFont="1"/>
    <xf numFmtId="37" fontId="0" fillId="0" borderId="0" xfId="0" applyNumberFormat="1" applyAlignment="1">
      <alignment wrapText="1"/>
    </xf>
    <xf numFmtId="37" fontId="3" fillId="0" borderId="0" xfId="1" applyNumberFormat="1" applyFont="1" applyFill="1"/>
    <xf numFmtId="0" fontId="3" fillId="0" borderId="0" xfId="1" applyNumberFormat="1" applyFont="1"/>
    <xf numFmtId="0" fontId="3" fillId="0" borderId="0" xfId="1" applyNumberFormat="1" applyFont="1" applyFill="1"/>
    <xf numFmtId="0" fontId="4" fillId="0" borderId="1" xfId="0" applyFont="1" applyFill="1" applyBorder="1" applyAlignment="1" applyProtection="1">
      <alignment horizontal="left" vertical="center" readingOrder="1"/>
    </xf>
    <xf numFmtId="0" fontId="9" fillId="0" borderId="0" xfId="4" applyFont="1" applyBorder="1" applyAlignment="1">
      <alignment horizontal="left" wrapText="1"/>
    </xf>
    <xf numFmtId="0" fontId="2" fillId="0" borderId="0" xfId="0" applyFont="1" applyAlignment="1">
      <alignment horizontal="left" wrapText="1"/>
    </xf>
    <xf numFmtId="10" fontId="0" fillId="0" borderId="0" xfId="0" applyNumberFormat="1" applyFill="1" applyAlignment="1">
      <alignment wrapText="1"/>
    </xf>
    <xf numFmtId="10" fontId="0" fillId="0" borderId="0" xfId="0" applyNumberFormat="1" applyFill="1"/>
    <xf numFmtId="37" fontId="0" fillId="0" borderId="0" xfId="0" applyNumberFormat="1" applyFill="1" applyAlignment="1">
      <alignment wrapText="1"/>
    </xf>
    <xf numFmtId="37" fontId="0" fillId="0" borderId="0" xfId="0" applyNumberFormat="1" applyFont="1" applyAlignment="1">
      <alignment horizontal="center" wrapText="1"/>
    </xf>
    <xf numFmtId="10" fontId="0" fillId="0" borderId="0" xfId="0" applyNumberFormat="1" applyFont="1" applyFill="1" applyAlignment="1">
      <alignment horizontal="center" wrapText="1"/>
    </xf>
    <xf numFmtId="37" fontId="0" fillId="0" borderId="0" xfId="0" applyNumberFormat="1" applyFont="1" applyFill="1" applyAlignment="1">
      <alignment horizontal="center" wrapText="1"/>
    </xf>
    <xf numFmtId="10" fontId="0" fillId="0" borderId="0" xfId="0" applyNumberFormat="1" applyFont="1" applyAlignment="1">
      <alignment horizontal="center" wrapText="1"/>
    </xf>
    <xf numFmtId="37" fontId="0" fillId="0" borderId="0" xfId="0" applyNumberFormat="1" applyFont="1"/>
    <xf numFmtId="37" fontId="3" fillId="0" borderId="0" xfId="0" applyNumberFormat="1" applyFont="1" applyFill="1"/>
    <xf numFmtId="164" fontId="3" fillId="0" borderId="0" xfId="0" applyNumberFormat="1" applyFont="1" applyFill="1"/>
    <xf numFmtId="37" fontId="2" fillId="0" borderId="0" xfId="0" applyNumberFormat="1" applyFont="1" applyFill="1"/>
    <xf numFmtId="164" fontId="2" fillId="0" borderId="0" xfId="0" applyNumberFormat="1" applyFont="1" applyFill="1"/>
    <xf numFmtId="0" fontId="0" fillId="0" borderId="0" xfId="2" applyNumberFormat="1" applyFont="1" applyFill="1"/>
    <xf numFmtId="0" fontId="2" fillId="0" borderId="0" xfId="0" applyFont="1" applyFill="1" applyAlignment="1">
      <alignment wrapText="1"/>
    </xf>
    <xf numFmtId="164" fontId="0" fillId="0" borderId="0" xfId="0" applyNumberFormat="1" applyFont="1" applyFill="1" applyAlignment="1">
      <alignment horizontal="right" wrapText="1"/>
    </xf>
    <xf numFmtId="0" fontId="0" fillId="0" borderId="0" xfId="0" applyFont="1" applyFill="1" applyAlignment="1">
      <alignment horizontal="right" wrapText="1"/>
    </xf>
    <xf numFmtId="0" fontId="9" fillId="0" borderId="0" xfId="4" applyFont="1" applyFill="1" applyBorder="1" applyAlignment="1">
      <alignment horizontal="left" wrapText="1"/>
    </xf>
    <xf numFmtId="37" fontId="0" fillId="0" borderId="0" xfId="0" applyNumberFormat="1" applyFont="1" applyFill="1" applyAlignment="1">
      <alignment horizontal="right" wrapText="1"/>
    </xf>
    <xf numFmtId="0" fontId="9" fillId="0" borderId="0" xfId="4" applyFont="1" applyFill="1" applyBorder="1"/>
    <xf numFmtId="164" fontId="0" fillId="0" borderId="0" xfId="0" applyNumberFormat="1" applyFill="1"/>
    <xf numFmtId="42" fontId="0" fillId="0" borderId="0" xfId="0" applyNumberFormat="1"/>
    <xf numFmtId="6" fontId="0" fillId="0" borderId="0" xfId="0" applyNumberFormat="1"/>
    <xf numFmtId="38" fontId="0" fillId="0" borderId="0" xfId="0" applyNumberFormat="1"/>
    <xf numFmtId="0" fontId="2" fillId="0" borderId="0" xfId="0" applyFont="1" applyAlignment="1"/>
    <xf numFmtId="0" fontId="2" fillId="0" borderId="0" xfId="0" applyFont="1" applyAlignment="1">
      <alignment wrapText="1"/>
    </xf>
    <xf numFmtId="43" fontId="7" fillId="0" borderId="0" xfId="1" applyFont="1"/>
    <xf numFmtId="43" fontId="7" fillId="0" borderId="2" xfId="1" applyFont="1" applyBorder="1"/>
    <xf numFmtId="43" fontId="7" fillId="0" borderId="0" xfId="1" applyFont="1" applyBorder="1"/>
    <xf numFmtId="43" fontId="7" fillId="0" borderId="3" xfId="1" applyFont="1" applyBorder="1"/>
    <xf numFmtId="43" fontId="7" fillId="0" borderId="13" xfId="1" applyFont="1" applyBorder="1"/>
    <xf numFmtId="43" fontId="7" fillId="0" borderId="12" xfId="1" applyFont="1" applyBorder="1"/>
    <xf numFmtId="43" fontId="7" fillId="0" borderId="14" xfId="1" applyFont="1" applyBorder="1"/>
    <xf numFmtId="43" fontId="7" fillId="0" borderId="13" xfId="1" applyFont="1" applyFill="1" applyBorder="1"/>
    <xf numFmtId="43" fontId="7" fillId="0" borderId="12" xfId="1" applyFont="1" applyFill="1" applyBorder="1"/>
    <xf numFmtId="43" fontId="7" fillId="0" borderId="14" xfId="1" applyFont="1" applyFill="1" applyBorder="1"/>
    <xf numFmtId="43" fontId="7" fillId="0" borderId="0" xfId="1" applyFont="1" applyAlignment="1">
      <alignment wrapText="1"/>
    </xf>
    <xf numFmtId="43" fontId="7" fillId="0" borderId="2" xfId="1" applyFont="1" applyBorder="1" applyAlignment="1">
      <alignment wrapText="1"/>
    </xf>
    <xf numFmtId="43" fontId="7" fillId="0" borderId="0" xfId="1" applyFont="1" applyBorder="1" applyAlignment="1">
      <alignment wrapText="1"/>
    </xf>
    <xf numFmtId="43" fontId="7" fillId="0" borderId="3" xfId="1" applyFont="1" applyBorder="1" applyAlignment="1">
      <alignment wrapText="1"/>
    </xf>
    <xf numFmtId="43" fontId="7" fillId="0" borderId="2" xfId="1" applyFont="1" applyFill="1" applyBorder="1" applyAlignment="1">
      <alignment wrapText="1"/>
    </xf>
    <xf numFmtId="43" fontId="7" fillId="0" borderId="0" xfId="1" applyFont="1" applyFill="1" applyBorder="1" applyAlignment="1">
      <alignment wrapText="1"/>
    </xf>
    <xf numFmtId="43" fontId="7" fillId="0" borderId="3" xfId="1" applyFont="1" applyFill="1" applyBorder="1" applyAlignment="1">
      <alignment wrapText="1"/>
    </xf>
    <xf numFmtId="0" fontId="7" fillId="0" borderId="15" xfId="4" applyFont="1" applyBorder="1" applyAlignment="1">
      <alignment wrapText="1"/>
    </xf>
    <xf numFmtId="0" fontId="7" fillId="0" borderId="0" xfId="4" applyFont="1" applyBorder="1" applyAlignment="1">
      <alignment wrapText="1"/>
    </xf>
    <xf numFmtId="0" fontId="7" fillId="0" borderId="16" xfId="4" applyFont="1" applyBorder="1" applyAlignment="1">
      <alignment wrapText="1"/>
    </xf>
    <xf numFmtId="0" fontId="7" fillId="0" borderId="2" xfId="4" applyFont="1" applyBorder="1" applyAlignment="1">
      <alignment wrapText="1"/>
    </xf>
    <xf numFmtId="0" fontId="7" fillId="0" borderId="3" xfId="4" applyFont="1" applyBorder="1" applyAlignment="1">
      <alignment wrapText="1"/>
    </xf>
    <xf numFmtId="43" fontId="7" fillId="3" borderId="2" xfId="1" applyFont="1" applyFill="1" applyBorder="1" applyAlignment="1">
      <alignment wrapText="1"/>
    </xf>
    <xf numFmtId="43" fontId="7" fillId="3" borderId="0" xfId="1" applyFont="1" applyFill="1" applyBorder="1" applyAlignment="1">
      <alignment wrapText="1"/>
    </xf>
    <xf numFmtId="43" fontId="7" fillId="3" borderId="3" xfId="1" applyFont="1" applyFill="1" applyBorder="1" applyAlignment="1">
      <alignment wrapText="1"/>
    </xf>
    <xf numFmtId="0" fontId="7" fillId="0" borderId="17" xfId="4" applyFont="1" applyBorder="1" applyAlignment="1">
      <alignment wrapText="1"/>
    </xf>
    <xf numFmtId="43" fontId="7" fillId="7" borderId="2" xfId="1" applyFont="1" applyFill="1" applyBorder="1"/>
    <xf numFmtId="43" fontId="7" fillId="7" borderId="0" xfId="1" applyFont="1" applyFill="1" applyBorder="1"/>
    <xf numFmtId="43" fontId="7" fillId="7" borderId="3" xfId="1" applyFont="1" applyFill="1" applyBorder="1"/>
    <xf numFmtId="43" fontId="1" fillId="6" borderId="18" xfId="1" applyFont="1" applyFill="1" applyBorder="1"/>
    <xf numFmtId="43" fontId="1" fillId="6" borderId="19" xfId="1" applyFont="1" applyFill="1" applyBorder="1"/>
    <xf numFmtId="43" fontId="0" fillId="0" borderId="18" xfId="1" applyFont="1" applyFill="1" applyBorder="1"/>
    <xf numFmtId="43" fontId="0" fillId="0" borderId="19" xfId="1" applyFont="1" applyFill="1" applyBorder="1"/>
    <xf numFmtId="43" fontId="14" fillId="0" borderId="2" xfId="1" applyFont="1" applyFill="1" applyBorder="1"/>
    <xf numFmtId="43" fontId="14" fillId="0" borderId="0" xfId="1" applyFont="1" applyFill="1" applyBorder="1"/>
    <xf numFmtId="43" fontId="14" fillId="0" borderId="3" xfId="1" applyFont="1" applyFill="1" applyBorder="1"/>
    <xf numFmtId="43" fontId="0" fillId="7" borderId="2" xfId="1" applyFont="1" applyFill="1" applyBorder="1"/>
    <xf numFmtId="43" fontId="0" fillId="7" borderId="0" xfId="1" applyFont="1" applyFill="1" applyBorder="1"/>
    <xf numFmtId="43" fontId="0" fillId="7" borderId="3" xfId="1" applyFont="1" applyFill="1" applyBorder="1"/>
    <xf numFmtId="43" fontId="7" fillId="0" borderId="17" xfId="1" applyFont="1" applyBorder="1"/>
    <xf numFmtId="43" fontId="7" fillId="3" borderId="2" xfId="1" applyFont="1" applyFill="1" applyBorder="1"/>
    <xf numFmtId="43" fontId="7" fillId="3" borderId="17" xfId="1" applyFont="1" applyFill="1" applyBorder="1"/>
    <xf numFmtId="43" fontId="1" fillId="0" borderId="18" xfId="1" applyFont="1" applyFill="1" applyBorder="1"/>
    <xf numFmtId="43" fontId="0" fillId="8" borderId="18" xfId="1" applyFont="1" applyFill="1" applyBorder="1"/>
    <xf numFmtId="43" fontId="1" fillId="9" borderId="18" xfId="1" applyFont="1" applyFill="1" applyBorder="1"/>
    <xf numFmtId="43" fontId="1" fillId="10" borderId="18" xfId="1" applyFont="1" applyFill="1" applyBorder="1"/>
    <xf numFmtId="43" fontId="0" fillId="10" borderId="18" xfId="1" applyFont="1" applyFill="1" applyBorder="1"/>
    <xf numFmtId="43" fontId="0" fillId="11" borderId="18" xfId="1" applyFont="1" applyFill="1" applyBorder="1"/>
    <xf numFmtId="43" fontId="0" fillId="7" borderId="18" xfId="1" applyFont="1" applyFill="1" applyBorder="1"/>
    <xf numFmtId="43" fontId="7" fillId="10" borderId="2" xfId="1" applyFont="1" applyFill="1" applyBorder="1"/>
    <xf numFmtId="43" fontId="7" fillId="10" borderId="0" xfId="1" applyFont="1" applyFill="1" applyBorder="1"/>
    <xf numFmtId="43" fontId="7" fillId="10" borderId="3" xfId="1" applyFont="1" applyFill="1" applyBorder="1"/>
    <xf numFmtId="43" fontId="1" fillId="0" borderId="18" xfId="1" applyFont="1" applyBorder="1"/>
    <xf numFmtId="43" fontId="1" fillId="12" borderId="18" xfId="1" applyFont="1" applyFill="1" applyBorder="1"/>
    <xf numFmtId="43" fontId="0" fillId="0" borderId="18" xfId="1" applyFont="1" applyBorder="1"/>
    <xf numFmtId="43" fontId="0" fillId="13" borderId="18" xfId="1" applyFont="1" applyFill="1" applyBorder="1"/>
    <xf numFmtId="43" fontId="0" fillId="14" borderId="18" xfId="1" applyFont="1" applyFill="1" applyBorder="1"/>
    <xf numFmtId="43" fontId="1" fillId="0" borderId="20" xfId="1" applyFont="1" applyBorder="1"/>
    <xf numFmtId="43" fontId="0" fillId="0" borderId="20" xfId="1" applyFont="1" applyBorder="1"/>
    <xf numFmtId="43" fontId="7" fillId="0" borderId="15" xfId="1" applyFont="1" applyBorder="1"/>
    <xf numFmtId="43" fontId="7" fillId="0" borderId="21" xfId="1" applyFont="1" applyBorder="1"/>
    <xf numFmtId="43" fontId="7" fillId="0" borderId="16" xfId="1" applyFont="1" applyBorder="1"/>
    <xf numFmtId="43" fontId="7" fillId="7" borderId="15" xfId="1" applyFont="1" applyFill="1" applyBorder="1"/>
    <xf numFmtId="43" fontId="7" fillId="7" borderId="21" xfId="1" applyFont="1" applyFill="1" applyBorder="1"/>
    <xf numFmtId="43" fontId="7" fillId="7" borderId="16" xfId="1" applyFont="1" applyFill="1" applyBorder="1"/>
    <xf numFmtId="43" fontId="7" fillId="2" borderId="0" xfId="1" applyFont="1" applyFill="1" applyAlignment="1">
      <alignment wrapText="1"/>
    </xf>
    <xf numFmtId="43" fontId="10" fillId="0" borderId="0" xfId="1" applyFont="1"/>
    <xf numFmtId="165" fontId="7" fillId="0" borderId="0" xfId="1" applyNumberFormat="1" applyFont="1" applyAlignment="1">
      <alignment wrapText="1"/>
    </xf>
    <xf numFmtId="166" fontId="7" fillId="0" borderId="0" xfId="2" applyNumberFormat="1" applyFont="1" applyAlignment="1">
      <alignment wrapText="1"/>
    </xf>
    <xf numFmtId="165" fontId="7" fillId="7" borderId="0" xfId="1" applyNumberFormat="1" applyFont="1" applyFill="1"/>
    <xf numFmtId="165" fontId="14" fillId="0" borderId="0" xfId="0" applyNumberFormat="1" applyFont="1"/>
    <xf numFmtId="165" fontId="7" fillId="0" borderId="0" xfId="1" applyNumberFormat="1" applyFont="1"/>
    <xf numFmtId="166" fontId="7" fillId="7" borderId="0" xfId="2" applyNumberFormat="1" applyFont="1" applyFill="1"/>
    <xf numFmtId="166" fontId="7" fillId="0" borderId="0" xfId="2" applyNumberFormat="1" applyFont="1" applyFill="1"/>
    <xf numFmtId="0" fontId="14" fillId="0" borderId="0" xfId="0" applyFont="1"/>
    <xf numFmtId="0" fontId="15" fillId="0" borderId="0" xfId="0" applyFont="1" applyAlignment="1">
      <alignment horizontal="center"/>
    </xf>
    <xf numFmtId="167" fontId="2" fillId="0" borderId="0" xfId="5" applyNumberFormat="1" applyFont="1"/>
    <xf numFmtId="9" fontId="2" fillId="0" borderId="0" xfId="0" applyNumberFormat="1" applyFont="1"/>
    <xf numFmtId="167" fontId="0" fillId="0" borderId="0" xfId="5" applyNumberFormat="1" applyFont="1"/>
    <xf numFmtId="9" fontId="0" fillId="0" borderId="0" xfId="0" applyNumberFormat="1"/>
    <xf numFmtId="168" fontId="0" fillId="0" borderId="0" xfId="2" applyNumberFormat="1" applyFont="1"/>
    <xf numFmtId="167" fontId="0" fillId="0" borderId="0" xfId="0" applyNumberFormat="1"/>
    <xf numFmtId="42" fontId="0" fillId="0" borderId="0" xfId="5" applyNumberFormat="1" applyFont="1"/>
    <xf numFmtId="169" fontId="0" fillId="0" borderId="0" xfId="0" applyNumberFormat="1"/>
    <xf numFmtId="10" fontId="0" fillId="0" borderId="0" xfId="0" quotePrefix="1" applyNumberFormat="1"/>
    <xf numFmtId="0" fontId="7" fillId="0" borderId="0" xfId="4"/>
    <xf numFmtId="0" fontId="2" fillId="0" borderId="0" xfId="0" applyFont="1" applyFill="1" applyAlignment="1">
      <alignment horizontal="center" vertical="center" wrapText="1"/>
    </xf>
    <xf numFmtId="0" fontId="0" fillId="0" borderId="0" xfId="0" applyAlignment="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167" fontId="0" fillId="0" borderId="0" xfId="5" applyNumberFormat="1" applyFont="1" applyFill="1"/>
    <xf numFmtId="167" fontId="2" fillId="0" borderId="0" xfId="5" applyNumberFormat="1" applyFont="1" applyFill="1"/>
    <xf numFmtId="0" fontId="17" fillId="0" borderId="1" xfId="0" applyFont="1" applyFill="1" applyBorder="1" applyAlignment="1" applyProtection="1">
      <alignment horizontal="left" vertical="center" readingOrder="1"/>
    </xf>
    <xf numFmtId="167" fontId="16" fillId="0" borderId="0" xfId="5" quotePrefix="1" applyNumberFormat="1" applyFont="1" applyAlignment="1">
      <alignment horizontal="center" vertical="center"/>
    </xf>
    <xf numFmtId="167" fontId="2" fillId="0" borderId="0" xfId="0" applyNumberFormat="1" applyFont="1"/>
    <xf numFmtId="0" fontId="0" fillId="0" borderId="0" xfId="0" applyAlignment="1"/>
    <xf numFmtId="167" fontId="16" fillId="0" borderId="0" xfId="5" quotePrefix="1" applyNumberFormat="1" applyFont="1" applyAlignment="1">
      <alignment vertical="center"/>
    </xf>
    <xf numFmtId="167" fontId="16" fillId="0" borderId="0" xfId="5" applyNumberFormat="1" applyFont="1" applyAlignment="1">
      <alignment vertical="center"/>
    </xf>
    <xf numFmtId="167" fontId="16" fillId="0" borderId="0" xfId="5" applyNumberFormat="1" applyFont="1" applyFill="1" applyAlignment="1">
      <alignment vertical="center"/>
    </xf>
    <xf numFmtId="0" fontId="2" fillId="0" borderId="0" xfId="0" applyFont="1" applyAlignment="1">
      <alignment vertical="center"/>
    </xf>
    <xf numFmtId="43" fontId="7" fillId="2" borderId="0" xfId="1" applyFont="1" applyFill="1" applyBorder="1" applyAlignment="1">
      <alignment wrapText="1"/>
    </xf>
    <xf numFmtId="167" fontId="16" fillId="0" borderId="0" xfId="5" applyNumberFormat="1" applyFont="1" applyAlignment="1">
      <alignment horizontal="center" vertical="center"/>
    </xf>
    <xf numFmtId="0" fontId="2" fillId="0" borderId="0" xfId="0" applyFont="1" applyFill="1" applyAlignment="1">
      <alignment vertical="center"/>
    </xf>
    <xf numFmtId="0" fontId="2" fillId="0" borderId="0" xfId="0" quotePrefix="1" applyFont="1" applyAlignment="1">
      <alignment vertical="center"/>
    </xf>
    <xf numFmtId="37" fontId="0" fillId="0" borderId="0" xfId="0" applyNumberFormat="1"/>
    <xf numFmtId="0" fontId="2" fillId="0" borderId="0" xfId="0" applyFont="1" applyAlignment="1">
      <alignment horizontal="center" wrapText="1"/>
    </xf>
    <xf numFmtId="164" fontId="0" fillId="0" borderId="0" xfId="0" applyNumberFormat="1"/>
    <xf numFmtId="0" fontId="2" fillId="0" borderId="0" xfId="0" applyFont="1" applyFill="1" applyAlignment="1">
      <alignment horizontal="center" wrapText="1"/>
    </xf>
    <xf numFmtId="37" fontId="0" fillId="0" borderId="0" xfId="0" applyNumberFormat="1" applyFill="1"/>
    <xf numFmtId="164" fontId="0" fillId="0" borderId="0" xfId="0" applyNumberFormat="1" applyFill="1"/>
    <xf numFmtId="37" fontId="0" fillId="0" borderId="0" xfId="0" applyNumberFormat="1"/>
    <xf numFmtId="0" fontId="2" fillId="0" borderId="0" xfId="0" applyFont="1" applyAlignment="1">
      <alignment horizontal="center" wrapText="1"/>
    </xf>
    <xf numFmtId="164" fontId="0" fillId="0" borderId="0" xfId="0" applyNumberFormat="1"/>
    <xf numFmtId="37" fontId="0" fillId="0" borderId="0" xfId="0" applyNumberFormat="1" applyFill="1"/>
    <xf numFmtId="164" fontId="0" fillId="0" borderId="0" xfId="0" applyNumberFormat="1" applyFill="1"/>
    <xf numFmtId="37" fontId="0" fillId="0" borderId="0" xfId="0" applyNumberFormat="1"/>
    <xf numFmtId="0" fontId="2" fillId="0" borderId="0" xfId="0" applyFont="1" applyAlignment="1">
      <alignment horizontal="center" wrapText="1"/>
    </xf>
    <xf numFmtId="164" fontId="0" fillId="0" borderId="0" xfId="0" applyNumberFormat="1"/>
    <xf numFmtId="0" fontId="2" fillId="0" borderId="0" xfId="0" applyFont="1" applyFill="1" applyAlignment="1">
      <alignment horizontal="center" wrapText="1"/>
    </xf>
    <xf numFmtId="37" fontId="0" fillId="0" borderId="0" xfId="0" applyNumberFormat="1" applyFill="1"/>
    <xf numFmtId="164" fontId="0" fillId="0" borderId="0" xfId="0" applyNumberFormat="1" applyFill="1"/>
    <xf numFmtId="37" fontId="3" fillId="0" borderId="0" xfId="0" applyNumberFormat="1" applyFont="1"/>
    <xf numFmtId="0" fontId="0" fillId="0" borderId="0" xfId="0" applyBorder="1"/>
    <xf numFmtId="0" fontId="0" fillId="0" borderId="25" xfId="0" applyBorder="1"/>
    <xf numFmtId="0" fontId="0" fillId="0" borderId="27" xfId="0" applyBorder="1"/>
    <xf numFmtId="0" fontId="0" fillId="0" borderId="26" xfId="0" applyBorder="1"/>
    <xf numFmtId="0" fontId="0" fillId="0" borderId="7" xfId="0" applyBorder="1"/>
    <xf numFmtId="0" fontId="0" fillId="0" borderId="22" xfId="0" applyBorder="1"/>
    <xf numFmtId="0" fontId="0" fillId="0" borderId="23" xfId="0" applyBorder="1"/>
    <xf numFmtId="0" fontId="0" fillId="0" borderId="24" xfId="0" applyBorder="1"/>
    <xf numFmtId="0" fontId="2" fillId="0" borderId="0" xfId="0" applyFont="1" applyBorder="1"/>
    <xf numFmtId="10" fontId="0" fillId="0" borderId="0" xfId="0" applyNumberFormat="1" applyBorder="1"/>
    <xf numFmtId="0" fontId="0" fillId="0" borderId="28" xfId="0" applyBorder="1"/>
    <xf numFmtId="10" fontId="0" fillId="0" borderId="0" xfId="0" applyNumberFormat="1"/>
    <xf numFmtId="0" fontId="2" fillId="0" borderId="0" xfId="0" applyFont="1"/>
    <xf numFmtId="10" fontId="0" fillId="0" borderId="0" xfId="0" applyNumberFormat="1" applyBorder="1"/>
    <xf numFmtId="167" fontId="0" fillId="0" borderId="0" xfId="0" applyNumberFormat="1"/>
    <xf numFmtId="167" fontId="0" fillId="0" borderId="0" xfId="5" applyNumberFormat="1" applyFont="1"/>
    <xf numFmtId="167" fontId="0" fillId="0" borderId="0" xfId="0" applyNumberFormat="1"/>
    <xf numFmtId="167" fontId="0" fillId="0" borderId="0" xfId="0" applyNumberFormat="1"/>
    <xf numFmtId="0" fontId="2" fillId="0" borderId="0" xfId="0" applyFont="1" applyAlignment="1">
      <alignment horizontal="center" vertical="center"/>
    </xf>
    <xf numFmtId="6" fontId="2" fillId="0" borderId="0" xfId="0" applyNumberFormat="1" applyFont="1"/>
    <xf numFmtId="6" fontId="0" fillId="0" borderId="0" xfId="0" applyNumberFormat="1" applyAlignment="1">
      <alignment vertical="center"/>
    </xf>
    <xf numFmtId="6" fontId="0" fillId="0" borderId="0" xfId="0" quotePrefix="1" applyNumberFormat="1" applyFont="1" applyAlignment="1">
      <alignment vertical="center"/>
    </xf>
    <xf numFmtId="9" fontId="2" fillId="0" borderId="0" xfId="2" applyFont="1" applyFill="1"/>
    <xf numFmtId="9" fontId="2" fillId="0" borderId="0" xfId="0" applyNumberFormat="1" applyFont="1" applyFill="1"/>
    <xf numFmtId="167" fontId="0" fillId="0" borderId="0" xfId="5" applyNumberFormat="1" applyFont="1" applyBorder="1"/>
    <xf numFmtId="170" fontId="0" fillId="0" borderId="0" xfId="0" applyNumberFormat="1"/>
    <xf numFmtId="0" fontId="10" fillId="0" borderId="0" xfId="4" applyFont="1" applyAlignment="1">
      <alignment horizontal="right"/>
    </xf>
    <xf numFmtId="0" fontId="5" fillId="0" borderId="0" xfId="0" applyFont="1" applyFill="1" applyBorder="1" applyAlignment="1">
      <alignment horizontal="center"/>
    </xf>
    <xf numFmtId="167" fontId="10" fillId="0" borderId="0" xfId="5" applyNumberFormat="1" applyFont="1"/>
    <xf numFmtId="0" fontId="2" fillId="17" borderId="0" xfId="0" applyFont="1" applyFill="1"/>
    <xf numFmtId="0" fontId="15" fillId="17" borderId="0" xfId="0" quotePrefix="1" applyFont="1" applyFill="1" applyAlignment="1">
      <alignment horizontal="center"/>
    </xf>
    <xf numFmtId="0" fontId="2" fillId="15" borderId="0" xfId="0" applyFont="1" applyFill="1"/>
    <xf numFmtId="0" fontId="2" fillId="15" borderId="0" xfId="0" quotePrefix="1" applyFont="1" applyFill="1" applyAlignment="1">
      <alignment vertical="center"/>
    </xf>
    <xf numFmtId="0" fontId="15" fillId="17" borderId="0" xfId="0" quotePrefix="1" applyFont="1" applyFill="1" applyAlignment="1">
      <alignment horizontal="center" vertical="center"/>
    </xf>
    <xf numFmtId="0" fontId="0" fillId="0" borderId="27" xfId="0" applyBorder="1" applyAlignment="1"/>
    <xf numFmtId="0" fontId="0" fillId="0" borderId="28" xfId="0" applyBorder="1" applyAlignment="1"/>
    <xf numFmtId="0" fontId="2" fillId="0" borderId="8" xfId="0" applyFont="1" applyBorder="1" applyAlignment="1"/>
    <xf numFmtId="0" fontId="11" fillId="0" borderId="6" xfId="0" applyFont="1" applyBorder="1" applyAlignment="1">
      <alignment vertical="center" wrapText="1"/>
    </xf>
    <xf numFmtId="0" fontId="0" fillId="0" borderId="6" xfId="0" applyBorder="1" applyAlignment="1">
      <alignment vertical="center" wrapText="1"/>
    </xf>
    <xf numFmtId="0" fontId="2" fillId="0" borderId="0" xfId="0" quotePrefix="1" applyFont="1" applyFill="1" applyAlignment="1">
      <alignment vertical="center"/>
    </xf>
    <xf numFmtId="0" fontId="2" fillId="8" borderId="0" xfId="0" applyFont="1" applyFill="1" applyAlignment="1">
      <alignment wrapText="1"/>
    </xf>
    <xf numFmtId="0" fontId="0" fillId="0" borderId="0" xfId="0" applyFont="1" applyAlignment="1">
      <alignment wrapText="1"/>
    </xf>
    <xf numFmtId="171" fontId="0" fillId="0" borderId="0" xfId="1" applyNumberFormat="1" applyFont="1" applyAlignment="1">
      <alignment wrapText="1"/>
    </xf>
    <xf numFmtId="172" fontId="0" fillId="0" borderId="0" xfId="1" applyNumberFormat="1" applyFont="1" applyAlignment="1">
      <alignment wrapText="1"/>
    </xf>
    <xf numFmtId="165" fontId="20" fillId="0" borderId="0" xfId="1" applyNumberFormat="1" applyFont="1" applyAlignment="1">
      <alignment wrapText="1"/>
    </xf>
    <xf numFmtId="165" fontId="0" fillId="0" borderId="0" xfId="1" applyNumberFormat="1" applyFont="1" applyAlignment="1">
      <alignment wrapText="1"/>
    </xf>
    <xf numFmtId="43" fontId="0" fillId="0" borderId="0" xfId="1" applyFont="1" applyAlignment="1">
      <alignment wrapText="1"/>
    </xf>
    <xf numFmtId="171" fontId="0" fillId="7" borderId="0" xfId="1" applyNumberFormat="1" applyFont="1" applyFill="1" applyAlignment="1">
      <alignment wrapText="1"/>
    </xf>
    <xf numFmtId="172" fontId="0" fillId="7" borderId="0" xfId="1" applyNumberFormat="1" applyFont="1" applyFill="1" applyAlignment="1">
      <alignment wrapText="1"/>
    </xf>
    <xf numFmtId="165" fontId="0" fillId="7" borderId="0" xfId="1" applyNumberFormat="1" applyFont="1" applyFill="1" applyAlignment="1">
      <alignment wrapText="1"/>
    </xf>
    <xf numFmtId="43" fontId="0" fillId="7" borderId="0" xfId="1" applyFont="1" applyFill="1" applyAlignment="1">
      <alignment wrapText="1"/>
    </xf>
    <xf numFmtId="0" fontId="21" fillId="0" borderId="0" xfId="0" applyFont="1" applyAlignment="1">
      <alignment vertical="center"/>
    </xf>
    <xf numFmtId="0" fontId="12" fillId="0" borderId="0" xfId="0" quotePrefix="1" applyFont="1" applyFill="1" applyAlignment="1">
      <alignment horizontal="left" vertical="center" wrapText="1"/>
    </xf>
    <xf numFmtId="0" fontId="16" fillId="0" borderId="0" xfId="0" applyFont="1" applyFill="1" applyAlignment="1">
      <alignment horizontal="right" vertical="center"/>
    </xf>
    <xf numFmtId="0" fontId="2" fillId="0" borderId="0" xfId="0" applyFont="1" applyFill="1" applyAlignment="1">
      <alignment horizontal="right"/>
    </xf>
    <xf numFmtId="44" fontId="0" fillId="0" borderId="0" xfId="0" applyNumberFormat="1"/>
    <xf numFmtId="44" fontId="0" fillId="0" borderId="0" xfId="5" applyFont="1"/>
    <xf numFmtId="0" fontId="2" fillId="0" borderId="0" xfId="0" applyFont="1" applyAlignment="1">
      <alignment horizontal="right"/>
    </xf>
    <xf numFmtId="167" fontId="2" fillId="0" borderId="0" xfId="5" quotePrefix="1" applyNumberFormat="1" applyFont="1" applyAlignment="1">
      <alignment horizontal="right"/>
    </xf>
    <xf numFmtId="9" fontId="2" fillId="0" borderId="0" xfId="0" applyNumberFormat="1" applyFont="1" applyAlignment="1">
      <alignment vertical="center"/>
    </xf>
    <xf numFmtId="0" fontId="2" fillId="0" borderId="0" xfId="0" quotePrefix="1" applyFont="1" applyAlignment="1">
      <alignment horizontal="right"/>
    </xf>
    <xf numFmtId="0" fontId="12" fillId="0" borderId="0" xfId="0" applyFont="1"/>
    <xf numFmtId="0" fontId="26" fillId="16" borderId="0" xfId="4" applyFont="1" applyFill="1" applyAlignment="1">
      <alignment horizontal="center" vertical="center"/>
    </xf>
    <xf numFmtId="0" fontId="15" fillId="16" borderId="0" xfId="0" applyFont="1" applyFill="1" applyAlignment="1">
      <alignment horizontal="center" vertical="center"/>
    </xf>
    <xf numFmtId="0" fontId="12" fillId="0" borderId="25" xfId="0" applyFont="1" applyBorder="1" applyAlignment="1">
      <alignment horizontal="left" vertical="top" wrapText="1"/>
    </xf>
    <xf numFmtId="0" fontId="12" fillId="0" borderId="0" xfId="0" applyFont="1" applyBorder="1" applyAlignment="1">
      <alignment horizontal="left" vertical="top" wrapText="1"/>
    </xf>
    <xf numFmtId="0" fontId="12" fillId="0" borderId="26" xfId="0" applyFont="1" applyBorder="1" applyAlignment="1">
      <alignment horizontal="left" vertical="top"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12" fillId="0" borderId="7" xfId="0" applyFont="1" applyBorder="1" applyAlignment="1">
      <alignment horizontal="left" vertical="top" wrapText="1"/>
    </xf>
    <xf numFmtId="0" fontId="23" fillId="0" borderId="0" xfId="0" applyFont="1" applyAlignment="1">
      <alignment horizontal="center"/>
    </xf>
    <xf numFmtId="0" fontId="15" fillId="0" borderId="10" xfId="0" applyFont="1" applyBorder="1" applyAlignment="1">
      <alignment horizontal="center"/>
    </xf>
    <xf numFmtId="0" fontId="18" fillId="0" borderId="2" xfId="0" quotePrefix="1" applyFont="1" applyBorder="1" applyAlignment="1">
      <alignment horizontal="center" vertical="center"/>
    </xf>
    <xf numFmtId="0" fontId="18" fillId="0" borderId="0" xfId="0" quotePrefix="1" applyFont="1" applyBorder="1" applyAlignment="1">
      <alignment horizontal="center" vertical="center"/>
    </xf>
    <xf numFmtId="0" fontId="0" fillId="0" borderId="0" xfId="0" applyFill="1" applyAlignment="1">
      <alignment horizontal="left" wrapText="1"/>
    </xf>
    <xf numFmtId="0" fontId="15" fillId="15" borderId="0" xfId="0" quotePrefix="1" applyFont="1" applyFill="1" applyAlignment="1">
      <alignment horizontal="center" vertical="center"/>
    </xf>
    <xf numFmtId="0" fontId="12" fillId="0" borderId="0" xfId="0" quotePrefix="1" applyFont="1" applyFill="1" applyAlignment="1">
      <alignment horizontal="left" vertical="center" wrapText="1"/>
    </xf>
    <xf numFmtId="0" fontId="2" fillId="0" borderId="0" xfId="0" applyFont="1" applyAlignment="1">
      <alignment horizontal="center" vertical="center"/>
    </xf>
    <xf numFmtId="0" fontId="16" fillId="0" borderId="0" xfId="0" quotePrefix="1" applyFont="1" applyAlignment="1">
      <alignment horizontal="right" vertical="center"/>
    </xf>
    <xf numFmtId="167" fontId="16" fillId="0" borderId="0" xfId="5" applyNumberFormat="1" applyFont="1" applyAlignment="1">
      <alignment horizontal="center" vertical="center"/>
    </xf>
    <xf numFmtId="0" fontId="15" fillId="16" borderId="0" xfId="0" quotePrefix="1" applyFont="1" applyFill="1" applyAlignment="1">
      <alignment horizontal="center" vertical="center"/>
    </xf>
    <xf numFmtId="0" fontId="15" fillId="17" borderId="0" xfId="0" quotePrefix="1" applyFont="1" applyFill="1" applyAlignment="1">
      <alignment horizontal="center" vertical="center"/>
    </xf>
    <xf numFmtId="0" fontId="11" fillId="0" borderId="8" xfId="0" applyFont="1" applyBorder="1" applyAlignment="1">
      <alignment vertical="center" wrapText="1"/>
    </xf>
    <xf numFmtId="0" fontId="11" fillId="0" borderId="6" xfId="0" applyFont="1"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43" fontId="10" fillId="0" borderId="9" xfId="1" applyFont="1" applyBorder="1" applyAlignment="1">
      <alignment horizontal="center"/>
    </xf>
    <xf numFmtId="43" fontId="10" fillId="0" borderId="10" xfId="1" applyFont="1" applyBorder="1" applyAlignment="1">
      <alignment horizontal="center"/>
    </xf>
    <xf numFmtId="43" fontId="10" fillId="0" borderId="11" xfId="1" applyFont="1" applyBorder="1" applyAlignment="1">
      <alignment horizontal="center"/>
    </xf>
    <xf numFmtId="43" fontId="10" fillId="6" borderId="9" xfId="1" applyFont="1" applyFill="1" applyBorder="1" applyAlignment="1">
      <alignment horizontal="center"/>
    </xf>
    <xf numFmtId="43" fontId="10" fillId="6" borderId="10" xfId="1" applyFont="1" applyFill="1" applyBorder="1" applyAlignment="1">
      <alignment horizontal="center"/>
    </xf>
    <xf numFmtId="43" fontId="10" fillId="6" borderId="11" xfId="1" applyFont="1" applyFill="1" applyBorder="1" applyAlignment="1">
      <alignment horizontal="center"/>
    </xf>
    <xf numFmtId="43" fontId="10" fillId="0" borderId="12" xfId="1" applyFont="1" applyBorder="1" applyAlignment="1">
      <alignment horizontal="center"/>
    </xf>
    <xf numFmtId="43" fontId="10" fillId="6" borderId="2" xfId="1" applyFont="1" applyFill="1" applyBorder="1" applyAlignment="1">
      <alignment horizontal="center"/>
    </xf>
    <xf numFmtId="43" fontId="10" fillId="6" borderId="0" xfId="1" applyFont="1" applyFill="1" applyBorder="1" applyAlignment="1">
      <alignment horizontal="center"/>
    </xf>
    <xf numFmtId="171" fontId="0" fillId="6" borderId="21" xfId="1" applyNumberFormat="1" applyFont="1" applyFill="1" applyBorder="1" applyAlignment="1">
      <alignment horizontal="center" wrapText="1"/>
    </xf>
    <xf numFmtId="0" fontId="0" fillId="6" borderId="21" xfId="0" applyFont="1" applyFill="1" applyBorder="1" applyAlignment="1">
      <alignment horizontal="center" wrapText="1"/>
    </xf>
    <xf numFmtId="0" fontId="0" fillId="2" borderId="0" xfId="0" applyFill="1"/>
    <xf numFmtId="0" fontId="18" fillId="0" borderId="22" xfId="0" applyFont="1" applyFill="1" applyBorder="1" applyAlignment="1">
      <alignment horizontal="center" vertical="center" wrapText="1"/>
    </xf>
    <xf numFmtId="0" fontId="27" fillId="0" borderId="23" xfId="4" quotePrefix="1" applyFont="1" applyBorder="1" applyAlignment="1">
      <alignment horizontal="center" vertical="center" wrapText="1"/>
    </xf>
    <xf numFmtId="0" fontId="18" fillId="15" borderId="29" xfId="0" applyFont="1" applyFill="1" applyBorder="1" applyAlignment="1">
      <alignment horizontal="center" vertical="center" wrapText="1"/>
    </xf>
    <xf numFmtId="0" fontId="18" fillId="15" borderId="31" xfId="0" applyFont="1" applyFill="1" applyBorder="1" applyAlignment="1">
      <alignment horizontal="center" vertical="center" wrapText="1"/>
    </xf>
    <xf numFmtId="0" fontId="18" fillId="16" borderId="29" xfId="0" applyFont="1" applyFill="1" applyBorder="1" applyAlignment="1">
      <alignment horizontal="center" vertical="center" wrapText="1"/>
    </xf>
    <xf numFmtId="0" fontId="18" fillId="16" borderId="31" xfId="0" applyFont="1" applyFill="1" applyBorder="1" applyAlignment="1">
      <alignment horizontal="center" vertical="center" wrapText="1"/>
    </xf>
    <xf numFmtId="0" fontId="18" fillId="17" borderId="23"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3" xfId="0" applyFont="1" applyBorder="1" applyAlignment="1">
      <alignment horizontal="center" vertical="center"/>
    </xf>
    <xf numFmtId="0" fontId="18" fillId="0" borderId="23" xfId="0" applyFont="1" applyBorder="1" applyAlignment="1">
      <alignment horizontal="center" vertical="center" wrapText="1"/>
    </xf>
    <xf numFmtId="0" fontId="18" fillId="2" borderId="8" xfId="0" applyFont="1" applyFill="1" applyBorder="1" applyAlignment="1">
      <alignment horizontal="center" vertical="center" wrapText="1"/>
    </xf>
    <xf numFmtId="0" fontId="18" fillId="0" borderId="24" xfId="0" applyFont="1" applyBorder="1" applyAlignment="1">
      <alignment horizontal="center" vertical="center" wrapText="1"/>
    </xf>
    <xf numFmtId="0" fontId="28" fillId="0" borderId="25" xfId="4" applyFont="1" applyFill="1" applyBorder="1" applyAlignment="1">
      <alignment horizontal="left" wrapText="1"/>
    </xf>
    <xf numFmtId="167" fontId="29" fillId="0" borderId="0" xfId="5" applyNumberFormat="1" applyFont="1" applyBorder="1"/>
    <xf numFmtId="167" fontId="13" fillId="0" borderId="2" xfId="5" applyNumberFormat="1" applyFont="1" applyBorder="1"/>
    <xf numFmtId="9" fontId="13" fillId="0" borderId="3" xfId="2" applyFont="1" applyBorder="1"/>
    <xf numFmtId="167" fontId="13" fillId="0" borderId="0" xfId="5" applyNumberFormat="1" applyFont="1" applyBorder="1"/>
    <xf numFmtId="9" fontId="13" fillId="0" borderId="0" xfId="2" applyFont="1" applyBorder="1"/>
    <xf numFmtId="167" fontId="13" fillId="0" borderId="33" xfId="5" applyNumberFormat="1" applyFont="1" applyBorder="1"/>
    <xf numFmtId="167" fontId="13" fillId="0" borderId="0" xfId="0" applyNumberFormat="1" applyFont="1" applyBorder="1"/>
    <xf numFmtId="10" fontId="13" fillId="0" borderId="26" xfId="2" applyNumberFormat="1" applyFont="1" applyBorder="1"/>
    <xf numFmtId="0" fontId="28" fillId="0" borderId="25" xfId="4" applyFont="1" applyFill="1" applyBorder="1"/>
    <xf numFmtId="0" fontId="28" fillId="2" borderId="25" xfId="4" applyFont="1" applyFill="1" applyBorder="1"/>
    <xf numFmtId="167" fontId="29" fillId="2" borderId="0" xfId="5" applyNumberFormat="1" applyFont="1" applyFill="1" applyBorder="1"/>
    <xf numFmtId="167" fontId="13" fillId="2" borderId="2" xfId="5" applyNumberFormat="1" applyFont="1" applyFill="1" applyBorder="1"/>
    <xf numFmtId="9" fontId="13" fillId="2" borderId="3" xfId="2" applyFont="1" applyFill="1" applyBorder="1"/>
    <xf numFmtId="167" fontId="13" fillId="2" borderId="0" xfId="5" applyNumberFormat="1" applyFont="1" applyFill="1" applyBorder="1"/>
    <xf numFmtId="9" fontId="13" fillId="2" borderId="0" xfId="2" applyFont="1" applyFill="1" applyBorder="1"/>
    <xf numFmtId="167" fontId="13" fillId="2" borderId="33" xfId="5" applyNumberFormat="1" applyFont="1" applyFill="1" applyBorder="1"/>
    <xf numFmtId="167" fontId="13" fillId="2" borderId="0" xfId="0" applyNumberFormat="1" applyFont="1" applyFill="1" applyBorder="1"/>
    <xf numFmtId="10" fontId="13" fillId="2" borderId="26" xfId="2" applyNumberFormat="1" applyFont="1" applyFill="1" applyBorder="1"/>
    <xf numFmtId="0" fontId="28" fillId="0" borderId="27" xfId="4" applyFont="1" applyFill="1" applyBorder="1"/>
    <xf numFmtId="167" fontId="29" fillId="0" borderId="28" xfId="5" applyNumberFormat="1" applyFont="1" applyBorder="1"/>
    <xf numFmtId="167" fontId="13" fillId="0" borderId="30" xfId="5" applyNumberFormat="1" applyFont="1" applyBorder="1"/>
    <xf numFmtId="9" fontId="13" fillId="0" borderId="32" xfId="2" applyFont="1" applyBorder="1"/>
    <xf numFmtId="167" fontId="13" fillId="0" borderId="28" xfId="5" applyNumberFormat="1" applyFont="1" applyBorder="1"/>
    <xf numFmtId="9" fontId="13" fillId="0" borderId="28" xfId="2" applyFont="1" applyBorder="1"/>
    <xf numFmtId="167" fontId="13" fillId="0" borderId="6" xfId="5" applyNumberFormat="1" applyFont="1" applyBorder="1"/>
    <xf numFmtId="167" fontId="13" fillId="0" borderId="28" xfId="0" applyNumberFormat="1" applyFont="1" applyBorder="1"/>
    <xf numFmtId="10" fontId="13" fillId="0" borderId="7" xfId="2" applyNumberFormat="1" applyFont="1" applyBorder="1"/>
    <xf numFmtId="0" fontId="13" fillId="0" borderId="0" xfId="0" applyFont="1" applyFill="1"/>
    <xf numFmtId="0" fontId="29" fillId="0" borderId="0" xfId="4" applyFont="1"/>
    <xf numFmtId="0" fontId="13" fillId="0" borderId="0" xfId="0" applyFont="1"/>
    <xf numFmtId="0" fontId="31" fillId="0" borderId="1" xfId="0" applyFont="1" applyFill="1" applyBorder="1" applyAlignment="1" applyProtection="1">
      <alignment horizontal="left" vertical="center" readingOrder="1"/>
    </xf>
    <xf numFmtId="167" fontId="27" fillId="0" borderId="0" xfId="5" applyNumberFormat="1" applyFont="1"/>
    <xf numFmtId="167" fontId="18" fillId="0" borderId="0" xfId="5" applyNumberFormat="1" applyFont="1"/>
    <xf numFmtId="167" fontId="18" fillId="0" borderId="0" xfId="0" applyNumberFormat="1" applyFont="1"/>
    <xf numFmtId="167" fontId="18" fillId="0" borderId="0" xfId="5" applyNumberFormat="1" applyFont="1" applyBorder="1"/>
  </cellXfs>
  <cellStyles count="9">
    <cellStyle name="Comma" xfId="1" builtinId="3"/>
    <cellStyle name="Comma 2" xfId="3"/>
    <cellStyle name="Comma 2 2" xfId="7"/>
    <cellStyle name="Currency" xfId="5" builtinId="4"/>
    <cellStyle name="Normal" xfId="0" builtinId="0"/>
    <cellStyle name="Normal 15" xfId="8"/>
    <cellStyle name="Normal 2" xfId="4"/>
    <cellStyle name="Percent" xfId="2" builtinId="5"/>
    <cellStyle name="Percent 2" xfId="6"/>
  </cellStyles>
  <dxfs count="0"/>
  <tableStyles count="0" defaultTableStyle="TableStyleMedium2" defaultPivotStyle="PivotStyleLight16"/>
  <colors>
    <mruColors>
      <color rgb="FFF1E8F8"/>
      <color rgb="FFD8BE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3"/>
  <sheetViews>
    <sheetView workbookViewId="0">
      <selection activeCell="C49" sqref="C49"/>
    </sheetView>
  </sheetViews>
  <sheetFormatPr defaultRowHeight="14.5" x14ac:dyDescent="0.35"/>
  <cols>
    <col min="2" max="3" width="36.36328125" bestFit="1" customWidth="1"/>
    <col min="4" max="4" width="15.36328125" bestFit="1" customWidth="1"/>
    <col min="5" max="5" width="16" bestFit="1" customWidth="1"/>
    <col min="10" max="10" width="39.54296875" customWidth="1"/>
  </cols>
  <sheetData>
    <row r="1" spans="2:11" ht="15" thickBot="1" x14ac:dyDescent="0.4">
      <c r="B1" s="156"/>
      <c r="C1" s="156"/>
      <c r="D1" s="156"/>
      <c r="E1" s="156"/>
    </row>
    <row r="2" spans="2:11" ht="15" thickBot="1" x14ac:dyDescent="0.4">
      <c r="B2" s="219" t="s">
        <v>504</v>
      </c>
      <c r="C2" s="217"/>
      <c r="D2" s="218"/>
      <c r="E2" s="218"/>
      <c r="J2" s="195" t="s">
        <v>462</v>
      </c>
      <c r="K2" s="194">
        <v>2.7099999999999999E-2</v>
      </c>
    </row>
    <row r="3" spans="2:11" ht="15" customHeight="1" x14ac:dyDescent="0.35">
      <c r="B3" s="247" t="s">
        <v>505</v>
      </c>
      <c r="C3" s="248"/>
      <c r="D3" s="248"/>
      <c r="E3" s="249"/>
      <c r="J3" s="195" t="s">
        <v>141</v>
      </c>
      <c r="K3" s="194">
        <v>2.5700000000000001E-2</v>
      </c>
    </row>
    <row r="4" spans="2:11" x14ac:dyDescent="0.35">
      <c r="B4" s="247"/>
      <c r="C4" s="248"/>
      <c r="D4" s="248"/>
      <c r="E4" s="249"/>
      <c r="J4" s="195" t="s">
        <v>142</v>
      </c>
      <c r="K4" s="194">
        <v>2.6700000000000002E-2</v>
      </c>
    </row>
    <row r="5" spans="2:11" x14ac:dyDescent="0.35">
      <c r="B5" s="247"/>
      <c r="C5" s="248"/>
      <c r="D5" s="248"/>
      <c r="E5" s="249"/>
    </row>
    <row r="6" spans="2:11" x14ac:dyDescent="0.35">
      <c r="B6" s="247"/>
      <c r="C6" s="248"/>
      <c r="D6" s="248"/>
      <c r="E6" s="249"/>
      <c r="J6" s="21"/>
    </row>
    <row r="7" spans="2:11" x14ac:dyDescent="0.35">
      <c r="B7" s="247"/>
      <c r="C7" s="248"/>
      <c r="D7" s="248"/>
      <c r="E7" s="249"/>
      <c r="J7" s="21"/>
    </row>
    <row r="8" spans="2:11" x14ac:dyDescent="0.35">
      <c r="B8" s="247"/>
      <c r="C8" s="248"/>
      <c r="D8" s="248"/>
      <c r="E8" s="249"/>
    </row>
    <row r="9" spans="2:11" x14ac:dyDescent="0.35">
      <c r="B9" s="247"/>
      <c r="C9" s="248"/>
      <c r="D9" s="248"/>
      <c r="E9" s="249"/>
    </row>
    <row r="10" spans="2:11" x14ac:dyDescent="0.35">
      <c r="B10" s="247"/>
      <c r="C10" s="248"/>
      <c r="D10" s="248"/>
      <c r="E10" s="249"/>
    </row>
    <row r="11" spans="2:11" x14ac:dyDescent="0.35">
      <c r="B11" s="247"/>
      <c r="C11" s="248"/>
      <c r="D11" s="248"/>
      <c r="E11" s="249"/>
    </row>
    <row r="12" spans="2:11" x14ac:dyDescent="0.35">
      <c r="B12" s="247"/>
      <c r="C12" s="248"/>
      <c r="D12" s="248"/>
      <c r="E12" s="249"/>
    </row>
    <row r="13" spans="2:11" x14ac:dyDescent="0.35">
      <c r="B13" s="247"/>
      <c r="C13" s="248"/>
      <c r="D13" s="248"/>
      <c r="E13" s="249"/>
    </row>
    <row r="14" spans="2:11" x14ac:dyDescent="0.35">
      <c r="B14" s="247"/>
      <c r="C14" s="248"/>
      <c r="D14" s="248"/>
      <c r="E14" s="249"/>
    </row>
    <row r="15" spans="2:11" x14ac:dyDescent="0.35">
      <c r="B15" s="247"/>
      <c r="C15" s="248"/>
      <c r="D15" s="248"/>
      <c r="E15" s="249"/>
    </row>
    <row r="16" spans="2:11" x14ac:dyDescent="0.35">
      <c r="B16" s="247"/>
      <c r="C16" s="248"/>
      <c r="D16" s="248"/>
      <c r="E16" s="249"/>
    </row>
    <row r="17" spans="2:6" x14ac:dyDescent="0.35">
      <c r="B17" s="247"/>
      <c r="C17" s="248"/>
      <c r="D17" s="248"/>
      <c r="E17" s="249"/>
    </row>
    <row r="18" spans="2:6" x14ac:dyDescent="0.35">
      <c r="B18" s="247"/>
      <c r="C18" s="248"/>
      <c r="D18" s="248"/>
      <c r="E18" s="249"/>
    </row>
    <row r="19" spans="2:6" x14ac:dyDescent="0.35">
      <c r="B19" s="247"/>
      <c r="C19" s="248"/>
      <c r="D19" s="248"/>
      <c r="E19" s="249"/>
    </row>
    <row r="20" spans="2:6" x14ac:dyDescent="0.35">
      <c r="B20" s="247"/>
      <c r="C20" s="248"/>
      <c r="D20" s="248"/>
      <c r="E20" s="249"/>
    </row>
    <row r="21" spans="2:6" x14ac:dyDescent="0.35">
      <c r="B21" s="247"/>
      <c r="C21" s="248"/>
      <c r="D21" s="248"/>
      <c r="E21" s="249"/>
    </row>
    <row r="22" spans="2:6" ht="15" thickBot="1" x14ac:dyDescent="0.4">
      <c r="B22" s="250"/>
      <c r="C22" s="251"/>
      <c r="D22" s="251"/>
      <c r="E22" s="252"/>
    </row>
    <row r="26" spans="2:6" ht="15" hidden="1" thickBot="1" x14ac:dyDescent="0.4">
      <c r="F26" s="1"/>
    </row>
    <row r="27" spans="2:6" hidden="1" x14ac:dyDescent="0.35">
      <c r="B27" s="188"/>
      <c r="C27" s="189" t="s">
        <v>229</v>
      </c>
      <c r="D27" s="189"/>
      <c r="E27" s="190"/>
      <c r="F27" s="1"/>
    </row>
    <row r="28" spans="2:6" hidden="1" x14ac:dyDescent="0.35">
      <c r="B28" s="184"/>
      <c r="C28" s="191" t="s">
        <v>137</v>
      </c>
      <c r="D28" s="183"/>
      <c r="E28" s="186"/>
    </row>
    <row r="29" spans="2:6" hidden="1" x14ac:dyDescent="0.35">
      <c r="B29" s="184"/>
      <c r="C29" s="183" t="s">
        <v>461</v>
      </c>
      <c r="D29" s="192">
        <f>K2</f>
        <v>2.7099999999999999E-2</v>
      </c>
      <c r="E29" s="186"/>
    </row>
    <row r="30" spans="2:6" hidden="1" x14ac:dyDescent="0.35">
      <c r="B30" s="184"/>
      <c r="C30" s="183" t="s">
        <v>138</v>
      </c>
      <c r="D30" s="196">
        <f>K3</f>
        <v>2.5700000000000001E-2</v>
      </c>
      <c r="E30" s="186"/>
    </row>
    <row r="31" spans="2:6" hidden="1" x14ac:dyDescent="0.35">
      <c r="B31" s="184"/>
      <c r="C31" s="183" t="s">
        <v>139</v>
      </c>
      <c r="D31" s="196">
        <f>K4</f>
        <v>2.6700000000000002E-2</v>
      </c>
      <c r="E31" s="186"/>
    </row>
    <row r="32" spans="2:6" ht="15" hidden="1" thickBot="1" x14ac:dyDescent="0.4">
      <c r="B32" s="185"/>
      <c r="C32" s="193"/>
      <c r="D32" s="193"/>
      <c r="E32" s="187"/>
    </row>
    <row r="33" spans="3:5" hidden="1" x14ac:dyDescent="0.35"/>
    <row r="35" spans="3:5" x14ac:dyDescent="0.35">
      <c r="C35" s="1"/>
      <c r="D35" s="1"/>
    </row>
    <row r="36" spans="3:5" x14ac:dyDescent="0.35">
      <c r="D36" s="56"/>
    </row>
    <row r="37" spans="3:5" x14ac:dyDescent="0.35">
      <c r="D37" s="56"/>
      <c r="E37" s="56"/>
    </row>
    <row r="39" spans="3:5" x14ac:dyDescent="0.35">
      <c r="C39" s="1"/>
      <c r="D39" s="1"/>
    </row>
    <row r="40" spans="3:5" x14ac:dyDescent="0.35">
      <c r="D40" s="57"/>
    </row>
    <row r="41" spans="3:5" x14ac:dyDescent="0.35">
      <c r="C41" s="1"/>
      <c r="D41" s="1"/>
    </row>
    <row r="43" spans="3:5" x14ac:dyDescent="0.35">
      <c r="D43" s="58"/>
    </row>
  </sheetData>
  <mergeCells count="1">
    <mergeCell ref="B3:E22"/>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X78"/>
  <sheetViews>
    <sheetView topLeftCell="E1" workbookViewId="0">
      <pane ySplit="3" topLeftCell="A52" activePane="bottomLeft" state="frozen"/>
      <selection activeCell="D1" sqref="D1"/>
      <selection pane="bottomLeft" activeCell="L76" sqref="L76"/>
    </sheetView>
  </sheetViews>
  <sheetFormatPr defaultRowHeight="14.5" outlineLevelCol="1" x14ac:dyDescent="0.35"/>
  <cols>
    <col min="1" max="1" width="54" style="61" bestFit="1" customWidth="1"/>
    <col min="2" max="2" width="3.36328125" customWidth="1"/>
    <col min="3" max="3" width="18.54296875" style="132" customWidth="1" outlineLevel="1"/>
    <col min="4" max="4" width="23" style="132" customWidth="1" outlineLevel="1"/>
    <col min="5" max="5" width="28.54296875" style="132" customWidth="1" outlineLevel="1"/>
    <col min="6" max="6" width="20.54296875" style="135" customWidth="1" outlineLevel="1"/>
    <col min="7" max="7" width="3.36328125" customWidth="1"/>
    <col min="8" max="9" width="18.54296875" style="132" customWidth="1" outlineLevel="1"/>
    <col min="10" max="10" width="23" style="132" customWidth="1" outlineLevel="1"/>
    <col min="11" max="11" width="28.54296875" style="132" customWidth="1" outlineLevel="1"/>
    <col min="12" max="12" width="20.54296875" style="135" customWidth="1" outlineLevel="1"/>
    <col min="13" max="13" width="5.36328125" customWidth="1"/>
    <col min="14" max="15" width="18.54296875" style="132" customWidth="1" outlineLevel="1"/>
    <col min="16" max="16" width="23" style="132" customWidth="1" outlineLevel="1"/>
    <col min="17" max="17" width="28.54296875" style="132" customWidth="1" outlineLevel="1"/>
    <col min="18" max="18" width="20.54296875" style="135" customWidth="1" outlineLevel="1"/>
    <col min="19" max="19" width="3.36328125" customWidth="1"/>
    <col min="20" max="21" width="18.54296875" style="132" customWidth="1" outlineLevel="1"/>
    <col min="22" max="22" width="23" style="132" customWidth="1" outlineLevel="1"/>
    <col min="23" max="23" width="28.54296875" style="132" customWidth="1" outlineLevel="1"/>
    <col min="24" max="24" width="20.54296875" style="135" customWidth="1" outlineLevel="1"/>
    <col min="25" max="25" width="3.36328125" customWidth="1"/>
    <col min="26" max="30" width="20.54296875" customWidth="1"/>
  </cols>
  <sheetData>
    <row r="1" spans="1:24" s="4" customFormat="1" x14ac:dyDescent="0.35">
      <c r="A1" s="71"/>
      <c r="C1" s="276" t="s">
        <v>289</v>
      </c>
      <c r="D1" s="277"/>
      <c r="E1" s="277"/>
      <c r="F1" s="277"/>
      <c r="H1" s="276" t="s">
        <v>290</v>
      </c>
      <c r="I1" s="277"/>
      <c r="J1" s="277"/>
      <c r="K1" s="277"/>
      <c r="L1" s="277"/>
      <c r="N1" s="276" t="s">
        <v>291</v>
      </c>
      <c r="O1" s="277"/>
      <c r="P1" s="277"/>
      <c r="Q1" s="277"/>
      <c r="R1" s="277"/>
      <c r="T1" s="276" t="s">
        <v>292</v>
      </c>
      <c r="U1" s="277"/>
      <c r="V1" s="277"/>
      <c r="W1" s="277"/>
      <c r="X1" s="277"/>
    </row>
    <row r="3" spans="1:24" ht="26" x14ac:dyDescent="0.35">
      <c r="A3" s="71" t="s">
        <v>38</v>
      </c>
      <c r="C3" s="128" t="s">
        <v>293</v>
      </c>
      <c r="D3" s="128" t="s">
        <v>294</v>
      </c>
      <c r="E3" s="128" t="s">
        <v>295</v>
      </c>
      <c r="F3" s="128" t="s">
        <v>296</v>
      </c>
      <c r="H3" s="128" t="s">
        <v>293</v>
      </c>
      <c r="I3" s="129" t="s">
        <v>297</v>
      </c>
      <c r="J3" s="128" t="s">
        <v>294</v>
      </c>
      <c r="K3" s="128" t="s">
        <v>295</v>
      </c>
      <c r="L3" s="128" t="s">
        <v>296</v>
      </c>
      <c r="N3" s="128" t="s">
        <v>293</v>
      </c>
      <c r="O3" s="129" t="s">
        <v>297</v>
      </c>
      <c r="P3" s="128" t="s">
        <v>294</v>
      </c>
      <c r="Q3" s="128" t="s">
        <v>295</v>
      </c>
      <c r="R3" s="128" t="s">
        <v>296</v>
      </c>
      <c r="T3" s="128" t="s">
        <v>293</v>
      </c>
      <c r="U3" s="129" t="s">
        <v>297</v>
      </c>
      <c r="V3" s="128" t="s">
        <v>294</v>
      </c>
      <c r="W3" s="128" t="s">
        <v>295</v>
      </c>
      <c r="X3" s="128" t="s">
        <v>296</v>
      </c>
    </row>
    <row r="4" spans="1:24" x14ac:dyDescent="0.35">
      <c r="A4" s="61" t="s">
        <v>39</v>
      </c>
      <c r="C4" s="130">
        <v>6082720</v>
      </c>
      <c r="D4" s="130">
        <v>0</v>
      </c>
      <c r="E4" s="130">
        <v>0</v>
      </c>
      <c r="F4" s="131">
        <f>SUM(C4:E4)</f>
        <v>6082720</v>
      </c>
      <c r="H4" s="132">
        <f>+F4</f>
        <v>6082720</v>
      </c>
      <c r="I4" s="133">
        <f>MacroInformation!$D$29</f>
        <v>2.7099999999999999E-2</v>
      </c>
      <c r="J4" s="132">
        <f>+D4</f>
        <v>0</v>
      </c>
      <c r="K4" s="132">
        <f>+H4*I4</f>
        <v>164841.712</v>
      </c>
      <c r="L4" s="131">
        <f>SUM(H4:K4)</f>
        <v>6247561.7390999999</v>
      </c>
      <c r="N4" s="132">
        <f>+L4</f>
        <v>6247561.7390999999</v>
      </c>
      <c r="O4" s="133">
        <f>MacroInformation!$D$30</f>
        <v>2.5700000000000001E-2</v>
      </c>
      <c r="P4" s="132">
        <f>+J4</f>
        <v>0</v>
      </c>
      <c r="Q4" s="132">
        <f>+N4*O4</f>
        <v>160562.33669487</v>
      </c>
      <c r="R4" s="131">
        <f>SUM(N4:Q4)</f>
        <v>6408124.1014948701</v>
      </c>
      <c r="T4" s="132">
        <f>+R4</f>
        <v>6408124.1014948701</v>
      </c>
      <c r="U4" s="133">
        <f>MacroInformation!$D$31</f>
        <v>2.6700000000000002E-2</v>
      </c>
      <c r="V4" s="132">
        <v>0</v>
      </c>
      <c r="W4" s="132">
        <f>+T4*U4</f>
        <v>171096.91350991305</v>
      </c>
      <c r="X4" s="131">
        <f>SUM(T4:W4)</f>
        <v>6579221.0417047832</v>
      </c>
    </row>
    <row r="5" spans="1:24" x14ac:dyDescent="0.35">
      <c r="A5" s="61" t="s">
        <v>40</v>
      </c>
      <c r="C5" s="130">
        <v>6082720</v>
      </c>
      <c r="D5" s="130">
        <v>0</v>
      </c>
      <c r="E5" s="130">
        <v>0</v>
      </c>
      <c r="F5" s="131">
        <f t="shared" ref="F5:F68" si="0">SUM(C5:E5)</f>
        <v>6082720</v>
      </c>
      <c r="H5" s="132">
        <f t="shared" ref="H5:H68" si="1">+F5</f>
        <v>6082720</v>
      </c>
      <c r="I5" s="133">
        <f>MacroInformation!$D$29</f>
        <v>2.7099999999999999E-2</v>
      </c>
      <c r="J5" s="132">
        <f t="shared" ref="J5:J68" si="2">+D5</f>
        <v>0</v>
      </c>
      <c r="K5" s="132">
        <f t="shared" ref="K5:K68" si="3">+H5*I5</f>
        <v>164841.712</v>
      </c>
      <c r="L5" s="131">
        <f t="shared" ref="L5:L68" si="4">SUM(H5:K5)</f>
        <v>6247561.7390999999</v>
      </c>
      <c r="N5" s="132">
        <f t="shared" ref="N5:N68" si="5">+L5</f>
        <v>6247561.7390999999</v>
      </c>
      <c r="O5" s="133">
        <f>MacroInformation!$D$30</f>
        <v>2.5700000000000001E-2</v>
      </c>
      <c r="P5" s="132">
        <f t="shared" ref="P5:P68" si="6">+J5</f>
        <v>0</v>
      </c>
      <c r="Q5" s="132">
        <f t="shared" ref="Q5:Q68" si="7">+N5*O5</f>
        <v>160562.33669487</v>
      </c>
      <c r="R5" s="131">
        <f t="shared" ref="R5:R68" si="8">SUM(N5:Q5)</f>
        <v>6408124.1014948701</v>
      </c>
      <c r="T5" s="132">
        <f t="shared" ref="T5:T68" si="9">+R5</f>
        <v>6408124.1014948701</v>
      </c>
      <c r="U5" s="133">
        <f>MacroInformation!$D$31</f>
        <v>2.6700000000000002E-2</v>
      </c>
      <c r="V5" s="132">
        <v>0</v>
      </c>
      <c r="W5" s="132">
        <f t="shared" ref="W5:W68" si="10">+T5*U5</f>
        <v>171096.91350991305</v>
      </c>
      <c r="X5" s="131">
        <f t="shared" ref="X5:X68" si="11">SUM(T5:W5)</f>
        <v>6579221.0417047832</v>
      </c>
    </row>
    <row r="6" spans="1:24" x14ac:dyDescent="0.35">
      <c r="A6" s="61" t="s">
        <v>41</v>
      </c>
      <c r="C6" s="130">
        <v>4810437</v>
      </c>
      <c r="D6" s="130">
        <v>0</v>
      </c>
      <c r="E6" s="130">
        <v>0</v>
      </c>
      <c r="F6" s="131">
        <f t="shared" si="0"/>
        <v>4810437</v>
      </c>
      <c r="H6" s="132">
        <f t="shared" si="1"/>
        <v>4810437</v>
      </c>
      <c r="I6" s="133">
        <f>MacroInformation!$D$29</f>
        <v>2.7099999999999999E-2</v>
      </c>
      <c r="J6" s="132">
        <f t="shared" si="2"/>
        <v>0</v>
      </c>
      <c r="K6" s="132">
        <f t="shared" si="3"/>
        <v>130362.84269999999</v>
      </c>
      <c r="L6" s="131">
        <f t="shared" si="4"/>
        <v>4940799.8697999995</v>
      </c>
      <c r="N6" s="132">
        <f t="shared" si="5"/>
        <v>4940799.8697999995</v>
      </c>
      <c r="O6" s="133">
        <f>MacroInformation!$D$30</f>
        <v>2.5700000000000001E-2</v>
      </c>
      <c r="P6" s="132">
        <f t="shared" si="6"/>
        <v>0</v>
      </c>
      <c r="Q6" s="132">
        <f t="shared" si="7"/>
        <v>126978.55665386</v>
      </c>
      <c r="R6" s="131">
        <f t="shared" si="8"/>
        <v>5067778.4521538597</v>
      </c>
      <c r="T6" s="132">
        <f t="shared" si="9"/>
        <v>5067778.4521538597</v>
      </c>
      <c r="U6" s="133">
        <f>MacroInformation!$D$31</f>
        <v>2.6700000000000002E-2</v>
      </c>
      <c r="V6" s="132">
        <v>0</v>
      </c>
      <c r="W6" s="132">
        <f t="shared" si="10"/>
        <v>135309.68467250807</v>
      </c>
      <c r="X6" s="131">
        <f t="shared" si="11"/>
        <v>5203088.1635263683</v>
      </c>
    </row>
    <row r="7" spans="1:24" x14ac:dyDescent="0.35">
      <c r="A7" s="61" t="s">
        <v>42</v>
      </c>
      <c r="C7" s="130">
        <v>6082720</v>
      </c>
      <c r="D7" s="130">
        <v>0</v>
      </c>
      <c r="E7" s="130">
        <v>0</v>
      </c>
      <c r="F7" s="131">
        <f t="shared" si="0"/>
        <v>6082720</v>
      </c>
      <c r="H7" s="132">
        <f t="shared" si="1"/>
        <v>6082720</v>
      </c>
      <c r="I7" s="133">
        <f>MacroInformation!$D$29</f>
        <v>2.7099999999999999E-2</v>
      </c>
      <c r="J7" s="132">
        <f t="shared" si="2"/>
        <v>0</v>
      </c>
      <c r="K7" s="132">
        <f t="shared" si="3"/>
        <v>164841.712</v>
      </c>
      <c r="L7" s="131">
        <f t="shared" si="4"/>
        <v>6247561.7390999999</v>
      </c>
      <c r="N7" s="132">
        <f t="shared" si="5"/>
        <v>6247561.7390999999</v>
      </c>
      <c r="O7" s="133">
        <f>MacroInformation!$D$30</f>
        <v>2.5700000000000001E-2</v>
      </c>
      <c r="P7" s="132">
        <f t="shared" si="6"/>
        <v>0</v>
      </c>
      <c r="Q7" s="132">
        <f t="shared" si="7"/>
        <v>160562.33669487</v>
      </c>
      <c r="R7" s="131">
        <f t="shared" si="8"/>
        <v>6408124.1014948701</v>
      </c>
      <c r="T7" s="132">
        <f t="shared" si="9"/>
        <v>6408124.1014948701</v>
      </c>
      <c r="U7" s="133">
        <f>MacroInformation!$D$31</f>
        <v>2.6700000000000002E-2</v>
      </c>
      <c r="V7" s="132">
        <v>0</v>
      </c>
      <c r="W7" s="132">
        <f t="shared" si="10"/>
        <v>171096.91350991305</v>
      </c>
      <c r="X7" s="131">
        <f t="shared" si="11"/>
        <v>6579221.0417047832</v>
      </c>
    </row>
    <row r="8" spans="1:24" x14ac:dyDescent="0.35">
      <c r="A8" s="61" t="s">
        <v>43</v>
      </c>
      <c r="C8" s="130">
        <v>6082720</v>
      </c>
      <c r="D8" s="130">
        <v>0</v>
      </c>
      <c r="E8" s="130">
        <v>0</v>
      </c>
      <c r="F8" s="131">
        <f t="shared" si="0"/>
        <v>6082720</v>
      </c>
      <c r="H8" s="132">
        <f t="shared" si="1"/>
        <v>6082720</v>
      </c>
      <c r="I8" s="133">
        <f>MacroInformation!$D$29</f>
        <v>2.7099999999999999E-2</v>
      </c>
      <c r="J8" s="132">
        <f t="shared" si="2"/>
        <v>0</v>
      </c>
      <c r="K8" s="132">
        <f t="shared" si="3"/>
        <v>164841.712</v>
      </c>
      <c r="L8" s="131">
        <f t="shared" si="4"/>
        <v>6247561.7390999999</v>
      </c>
      <c r="N8" s="132">
        <f t="shared" si="5"/>
        <v>6247561.7390999999</v>
      </c>
      <c r="O8" s="133">
        <f>MacroInformation!$D$30</f>
        <v>2.5700000000000001E-2</v>
      </c>
      <c r="P8" s="132">
        <f t="shared" si="6"/>
        <v>0</v>
      </c>
      <c r="Q8" s="132">
        <f t="shared" si="7"/>
        <v>160562.33669487</v>
      </c>
      <c r="R8" s="131">
        <f t="shared" si="8"/>
        <v>6408124.1014948701</v>
      </c>
      <c r="T8" s="132">
        <f t="shared" si="9"/>
        <v>6408124.1014948701</v>
      </c>
      <c r="U8" s="133">
        <f>MacroInformation!$D$31</f>
        <v>2.6700000000000002E-2</v>
      </c>
      <c r="V8" s="132">
        <v>0</v>
      </c>
      <c r="W8" s="132">
        <f t="shared" si="10"/>
        <v>171096.91350991305</v>
      </c>
      <c r="X8" s="131">
        <f t="shared" si="11"/>
        <v>6579221.0417047832</v>
      </c>
    </row>
    <row r="9" spans="1:24" x14ac:dyDescent="0.35">
      <c r="A9" s="61" t="s">
        <v>44</v>
      </c>
      <c r="C9" s="130">
        <v>4866176</v>
      </c>
      <c r="D9" s="130">
        <v>0</v>
      </c>
      <c r="E9" s="130">
        <v>0</v>
      </c>
      <c r="F9" s="131">
        <f t="shared" si="0"/>
        <v>4866176</v>
      </c>
      <c r="H9" s="132">
        <f t="shared" si="1"/>
        <v>4866176</v>
      </c>
      <c r="I9" s="133">
        <f>MacroInformation!$D$29</f>
        <v>2.7099999999999999E-2</v>
      </c>
      <c r="J9" s="132">
        <f t="shared" si="2"/>
        <v>0</v>
      </c>
      <c r="K9" s="132">
        <f t="shared" si="3"/>
        <v>131873.36960000001</v>
      </c>
      <c r="L9" s="131">
        <f t="shared" si="4"/>
        <v>4998049.3966999995</v>
      </c>
      <c r="N9" s="132">
        <f t="shared" si="5"/>
        <v>4998049.3966999995</v>
      </c>
      <c r="O9" s="133">
        <f>MacroInformation!$D$30</f>
        <v>2.5700000000000001E-2</v>
      </c>
      <c r="P9" s="132">
        <f t="shared" si="6"/>
        <v>0</v>
      </c>
      <c r="Q9" s="132">
        <f t="shared" si="7"/>
        <v>128449.86949519</v>
      </c>
      <c r="R9" s="131">
        <f t="shared" si="8"/>
        <v>5126499.2918951893</v>
      </c>
      <c r="T9" s="132">
        <f t="shared" si="9"/>
        <v>5126499.2918951893</v>
      </c>
      <c r="U9" s="133">
        <f>MacroInformation!$D$31</f>
        <v>2.6700000000000002E-2</v>
      </c>
      <c r="V9" s="132">
        <v>0</v>
      </c>
      <c r="W9" s="132">
        <f t="shared" si="10"/>
        <v>136877.53109360157</v>
      </c>
      <c r="X9" s="131">
        <f t="shared" si="11"/>
        <v>5263376.8496887907</v>
      </c>
    </row>
    <row r="10" spans="1:24" x14ac:dyDescent="0.35">
      <c r="A10" s="61" t="s">
        <v>45</v>
      </c>
      <c r="C10" s="130">
        <v>7907534</v>
      </c>
      <c r="D10" s="130">
        <v>0</v>
      </c>
      <c r="E10" s="130">
        <v>0</v>
      </c>
      <c r="F10" s="131">
        <f t="shared" si="0"/>
        <v>7907534</v>
      </c>
      <c r="H10" s="132">
        <f t="shared" si="1"/>
        <v>7907534</v>
      </c>
      <c r="I10" s="133">
        <f>MacroInformation!$D$29</f>
        <v>2.7099999999999999E-2</v>
      </c>
      <c r="J10" s="132">
        <f t="shared" si="2"/>
        <v>0</v>
      </c>
      <c r="K10" s="132">
        <f t="shared" si="3"/>
        <v>214294.17139999999</v>
      </c>
      <c r="L10" s="131">
        <f t="shared" si="4"/>
        <v>8121828.1984999999</v>
      </c>
      <c r="N10" s="132">
        <f t="shared" si="5"/>
        <v>8121828.1984999999</v>
      </c>
      <c r="O10" s="133">
        <f>MacroInformation!$D$30</f>
        <v>2.5700000000000001E-2</v>
      </c>
      <c r="P10" s="132">
        <f t="shared" si="6"/>
        <v>0</v>
      </c>
      <c r="Q10" s="132">
        <f t="shared" si="7"/>
        <v>208730.98470145001</v>
      </c>
      <c r="R10" s="131">
        <f t="shared" si="8"/>
        <v>8330559.20890145</v>
      </c>
      <c r="T10" s="132">
        <f t="shared" si="9"/>
        <v>8330559.20890145</v>
      </c>
      <c r="U10" s="133">
        <f>MacroInformation!$D$31</f>
        <v>2.6700000000000002E-2</v>
      </c>
      <c r="V10" s="132">
        <v>0</v>
      </c>
      <c r="W10" s="132">
        <f t="shared" si="10"/>
        <v>222425.93087766872</v>
      </c>
      <c r="X10" s="131">
        <f t="shared" si="11"/>
        <v>8552985.1664791182</v>
      </c>
    </row>
    <row r="11" spans="1:24" x14ac:dyDescent="0.35">
      <c r="A11" s="61" t="s">
        <v>46</v>
      </c>
      <c r="C11" s="130">
        <v>7299264</v>
      </c>
      <c r="D11" s="130">
        <v>0</v>
      </c>
      <c r="E11" s="130">
        <v>0</v>
      </c>
      <c r="F11" s="131">
        <f t="shared" si="0"/>
        <v>7299264</v>
      </c>
      <c r="H11" s="132">
        <f t="shared" si="1"/>
        <v>7299264</v>
      </c>
      <c r="I11" s="133">
        <f>MacroInformation!$D$29</f>
        <v>2.7099999999999999E-2</v>
      </c>
      <c r="J11" s="132">
        <f t="shared" si="2"/>
        <v>0</v>
      </c>
      <c r="K11" s="132">
        <f t="shared" si="3"/>
        <v>197810.05439999999</v>
      </c>
      <c r="L11" s="131">
        <f t="shared" si="4"/>
        <v>7497074.0814999994</v>
      </c>
      <c r="N11" s="132">
        <f t="shared" si="5"/>
        <v>7497074.0814999994</v>
      </c>
      <c r="O11" s="133">
        <f>MacroInformation!$D$30</f>
        <v>2.5700000000000001E-2</v>
      </c>
      <c r="P11" s="132">
        <f t="shared" si="6"/>
        <v>0</v>
      </c>
      <c r="Q11" s="132">
        <f t="shared" si="7"/>
        <v>192674.80389454999</v>
      </c>
      <c r="R11" s="131">
        <f t="shared" si="8"/>
        <v>7689748.9110945491</v>
      </c>
      <c r="T11" s="132">
        <f t="shared" si="9"/>
        <v>7689748.9110945491</v>
      </c>
      <c r="U11" s="133">
        <f>MacroInformation!$D$31</f>
        <v>2.6700000000000002E-2</v>
      </c>
      <c r="V11" s="132">
        <v>0</v>
      </c>
      <c r="W11" s="132">
        <f t="shared" si="10"/>
        <v>205316.29592622447</v>
      </c>
      <c r="X11" s="131">
        <f t="shared" si="11"/>
        <v>7895065.2337207738</v>
      </c>
    </row>
    <row r="12" spans="1:24" x14ac:dyDescent="0.35">
      <c r="A12" s="61" t="s">
        <v>47</v>
      </c>
      <c r="C12" s="130">
        <v>4866176</v>
      </c>
      <c r="D12" s="130">
        <v>0</v>
      </c>
      <c r="E12" s="130">
        <v>0</v>
      </c>
      <c r="F12" s="131">
        <f t="shared" si="0"/>
        <v>4866176</v>
      </c>
      <c r="H12" s="132">
        <f t="shared" si="1"/>
        <v>4866176</v>
      </c>
      <c r="I12" s="133">
        <f>MacroInformation!$D$29</f>
        <v>2.7099999999999999E-2</v>
      </c>
      <c r="J12" s="132">
        <f t="shared" si="2"/>
        <v>0</v>
      </c>
      <c r="K12" s="132">
        <f t="shared" si="3"/>
        <v>131873.36960000001</v>
      </c>
      <c r="L12" s="131">
        <f t="shared" si="4"/>
        <v>4998049.3966999995</v>
      </c>
      <c r="N12" s="132">
        <f t="shared" si="5"/>
        <v>4998049.3966999995</v>
      </c>
      <c r="O12" s="133">
        <f>MacroInformation!$D$30</f>
        <v>2.5700000000000001E-2</v>
      </c>
      <c r="P12" s="132">
        <f t="shared" si="6"/>
        <v>0</v>
      </c>
      <c r="Q12" s="132">
        <f t="shared" si="7"/>
        <v>128449.86949519</v>
      </c>
      <c r="R12" s="131">
        <f t="shared" si="8"/>
        <v>5126499.2918951893</v>
      </c>
      <c r="T12" s="132">
        <f t="shared" si="9"/>
        <v>5126499.2918951893</v>
      </c>
      <c r="U12" s="133">
        <f>MacroInformation!$D$31</f>
        <v>2.6700000000000002E-2</v>
      </c>
      <c r="V12" s="132">
        <v>0</v>
      </c>
      <c r="W12" s="132">
        <f t="shared" si="10"/>
        <v>136877.53109360157</v>
      </c>
      <c r="X12" s="131">
        <f t="shared" si="11"/>
        <v>5263376.8496887907</v>
      </c>
    </row>
    <row r="13" spans="1:24" x14ac:dyDescent="0.35">
      <c r="A13" s="61" t="s">
        <v>48</v>
      </c>
      <c r="C13" s="130">
        <v>12165438</v>
      </c>
      <c r="D13" s="130">
        <v>0</v>
      </c>
      <c r="E13" s="130">
        <v>0</v>
      </c>
      <c r="F13" s="131">
        <f t="shared" si="0"/>
        <v>12165438</v>
      </c>
      <c r="H13" s="132">
        <f t="shared" si="1"/>
        <v>12165438</v>
      </c>
      <c r="I13" s="133">
        <f>MacroInformation!$D$29</f>
        <v>2.7099999999999999E-2</v>
      </c>
      <c r="J13" s="132">
        <f t="shared" si="2"/>
        <v>0</v>
      </c>
      <c r="K13" s="132">
        <f t="shared" si="3"/>
        <v>329683.36979999999</v>
      </c>
      <c r="L13" s="131">
        <f t="shared" si="4"/>
        <v>12495121.3969</v>
      </c>
      <c r="N13" s="132">
        <f t="shared" si="5"/>
        <v>12495121.3969</v>
      </c>
      <c r="O13" s="133">
        <f>MacroInformation!$D$30</f>
        <v>2.5700000000000001E-2</v>
      </c>
      <c r="P13" s="132">
        <f t="shared" si="6"/>
        <v>0</v>
      </c>
      <c r="Q13" s="132">
        <f t="shared" si="7"/>
        <v>321124.61990033003</v>
      </c>
      <c r="R13" s="131">
        <f t="shared" si="8"/>
        <v>12816246.04250033</v>
      </c>
      <c r="T13" s="132">
        <f t="shared" si="9"/>
        <v>12816246.04250033</v>
      </c>
      <c r="U13" s="133">
        <f>MacroInformation!$D$31</f>
        <v>2.6700000000000002E-2</v>
      </c>
      <c r="V13" s="132">
        <v>0</v>
      </c>
      <c r="W13" s="132">
        <f t="shared" si="10"/>
        <v>342193.76933475881</v>
      </c>
      <c r="X13" s="131">
        <f t="shared" si="11"/>
        <v>13158439.838535089</v>
      </c>
    </row>
    <row r="14" spans="1:24" x14ac:dyDescent="0.35">
      <c r="A14" s="61" t="s">
        <v>49</v>
      </c>
      <c r="C14" s="130">
        <v>3649630</v>
      </c>
      <c r="D14" s="130">
        <v>0</v>
      </c>
      <c r="E14" s="130">
        <v>0</v>
      </c>
      <c r="F14" s="131">
        <f t="shared" si="0"/>
        <v>3649630</v>
      </c>
      <c r="H14" s="132">
        <f t="shared" si="1"/>
        <v>3649630</v>
      </c>
      <c r="I14" s="133">
        <f>MacroInformation!$D$29</f>
        <v>2.7099999999999999E-2</v>
      </c>
      <c r="J14" s="132">
        <f t="shared" si="2"/>
        <v>0</v>
      </c>
      <c r="K14" s="132">
        <f t="shared" si="3"/>
        <v>98904.972999999998</v>
      </c>
      <c r="L14" s="131">
        <f t="shared" si="4"/>
        <v>3748535.0000999998</v>
      </c>
      <c r="N14" s="132">
        <f t="shared" si="5"/>
        <v>3748535.0000999998</v>
      </c>
      <c r="O14" s="133">
        <f>MacroInformation!$D$30</f>
        <v>2.5700000000000001E-2</v>
      </c>
      <c r="P14" s="132">
        <f t="shared" si="6"/>
        <v>0</v>
      </c>
      <c r="Q14" s="132">
        <f t="shared" si="7"/>
        <v>96337.349502569996</v>
      </c>
      <c r="R14" s="131">
        <f t="shared" si="8"/>
        <v>3844872.3753025699</v>
      </c>
      <c r="T14" s="132">
        <f t="shared" si="9"/>
        <v>3844872.3753025699</v>
      </c>
      <c r="U14" s="133">
        <f>MacroInformation!$D$31</f>
        <v>2.6700000000000002E-2</v>
      </c>
      <c r="V14" s="132">
        <v>0</v>
      </c>
      <c r="W14" s="132">
        <f t="shared" si="10"/>
        <v>102658.09242057863</v>
      </c>
      <c r="X14" s="131">
        <f t="shared" si="11"/>
        <v>3947530.4944231482</v>
      </c>
    </row>
    <row r="15" spans="1:24" x14ac:dyDescent="0.35">
      <c r="A15" s="61" t="s">
        <v>50</v>
      </c>
      <c r="C15" s="130">
        <v>13990252</v>
      </c>
      <c r="D15" s="130">
        <v>0</v>
      </c>
      <c r="E15" s="130">
        <v>0</v>
      </c>
      <c r="F15" s="131">
        <f t="shared" si="0"/>
        <v>13990252</v>
      </c>
      <c r="H15" s="132">
        <f t="shared" si="1"/>
        <v>13990252</v>
      </c>
      <c r="I15" s="133">
        <f>MacroInformation!$D$29</f>
        <v>2.7099999999999999E-2</v>
      </c>
      <c r="J15" s="132">
        <f t="shared" si="2"/>
        <v>0</v>
      </c>
      <c r="K15" s="132">
        <f t="shared" si="3"/>
        <v>379135.82919999998</v>
      </c>
      <c r="L15" s="131">
        <f t="shared" si="4"/>
        <v>14369387.8563</v>
      </c>
      <c r="N15" s="132">
        <f t="shared" si="5"/>
        <v>14369387.8563</v>
      </c>
      <c r="O15" s="133">
        <f>MacroInformation!$D$30</f>
        <v>2.5700000000000001E-2</v>
      </c>
      <c r="P15" s="132">
        <f t="shared" si="6"/>
        <v>0</v>
      </c>
      <c r="Q15" s="132">
        <f t="shared" si="7"/>
        <v>369293.26790690998</v>
      </c>
      <c r="R15" s="131">
        <f t="shared" si="8"/>
        <v>14738681.149906909</v>
      </c>
      <c r="T15" s="132">
        <f t="shared" si="9"/>
        <v>14738681.149906909</v>
      </c>
      <c r="U15" s="133">
        <f>MacroInformation!$D$31</f>
        <v>2.6700000000000002E-2</v>
      </c>
      <c r="V15" s="132">
        <v>0</v>
      </c>
      <c r="W15" s="132">
        <f t="shared" si="10"/>
        <v>393522.78670251451</v>
      </c>
      <c r="X15" s="131">
        <f t="shared" si="11"/>
        <v>15132203.963309422</v>
      </c>
    </row>
    <row r="16" spans="1:24" x14ac:dyDescent="0.35">
      <c r="A16" s="61" t="s">
        <v>51</v>
      </c>
      <c r="C16" s="130">
        <v>4810437</v>
      </c>
      <c r="D16" s="130">
        <v>0</v>
      </c>
      <c r="E16" s="130">
        <v>0</v>
      </c>
      <c r="F16" s="131">
        <f t="shared" si="0"/>
        <v>4810437</v>
      </c>
      <c r="H16" s="132">
        <f t="shared" si="1"/>
        <v>4810437</v>
      </c>
      <c r="I16" s="133">
        <f>MacroInformation!$D$29</f>
        <v>2.7099999999999999E-2</v>
      </c>
      <c r="J16" s="132">
        <f t="shared" si="2"/>
        <v>0</v>
      </c>
      <c r="K16" s="132">
        <f t="shared" si="3"/>
        <v>130362.84269999999</v>
      </c>
      <c r="L16" s="131">
        <f t="shared" si="4"/>
        <v>4940799.8697999995</v>
      </c>
      <c r="N16" s="132">
        <f t="shared" si="5"/>
        <v>4940799.8697999995</v>
      </c>
      <c r="O16" s="133">
        <f>MacroInformation!$D$30</f>
        <v>2.5700000000000001E-2</v>
      </c>
      <c r="P16" s="132">
        <f t="shared" si="6"/>
        <v>0</v>
      </c>
      <c r="Q16" s="132">
        <f t="shared" si="7"/>
        <v>126978.55665386</v>
      </c>
      <c r="R16" s="131">
        <f t="shared" si="8"/>
        <v>5067778.4521538597</v>
      </c>
      <c r="T16" s="132">
        <f t="shared" si="9"/>
        <v>5067778.4521538597</v>
      </c>
      <c r="U16" s="133">
        <f>MacroInformation!$D$31</f>
        <v>2.6700000000000002E-2</v>
      </c>
      <c r="V16" s="132">
        <v>0</v>
      </c>
      <c r="W16" s="132">
        <f t="shared" si="10"/>
        <v>135309.68467250807</v>
      </c>
      <c r="X16" s="131">
        <f t="shared" si="11"/>
        <v>5203088.1635263683</v>
      </c>
    </row>
    <row r="17" spans="1:24" x14ac:dyDescent="0.35">
      <c r="A17" s="61" t="s">
        <v>52</v>
      </c>
      <c r="C17" s="130">
        <v>3649630</v>
      </c>
      <c r="D17" s="130">
        <v>0</v>
      </c>
      <c r="E17" s="130">
        <v>0</v>
      </c>
      <c r="F17" s="131">
        <f t="shared" si="0"/>
        <v>3649630</v>
      </c>
      <c r="H17" s="132">
        <f t="shared" si="1"/>
        <v>3649630</v>
      </c>
      <c r="I17" s="133">
        <f>MacroInformation!$D$29</f>
        <v>2.7099999999999999E-2</v>
      </c>
      <c r="J17" s="132">
        <f t="shared" si="2"/>
        <v>0</v>
      </c>
      <c r="K17" s="132">
        <f t="shared" si="3"/>
        <v>98904.972999999998</v>
      </c>
      <c r="L17" s="131">
        <f t="shared" si="4"/>
        <v>3748535.0000999998</v>
      </c>
      <c r="N17" s="132">
        <f t="shared" si="5"/>
        <v>3748535.0000999998</v>
      </c>
      <c r="O17" s="133">
        <f>MacroInformation!$D$30</f>
        <v>2.5700000000000001E-2</v>
      </c>
      <c r="P17" s="132">
        <f t="shared" si="6"/>
        <v>0</v>
      </c>
      <c r="Q17" s="132">
        <f t="shared" si="7"/>
        <v>96337.349502569996</v>
      </c>
      <c r="R17" s="131">
        <f t="shared" si="8"/>
        <v>3844872.3753025699</v>
      </c>
      <c r="T17" s="132">
        <f t="shared" si="9"/>
        <v>3844872.3753025699</v>
      </c>
      <c r="U17" s="133">
        <f>MacroInformation!$D$31</f>
        <v>2.6700000000000002E-2</v>
      </c>
      <c r="V17" s="132">
        <v>0</v>
      </c>
      <c r="W17" s="132">
        <f t="shared" si="10"/>
        <v>102658.09242057863</v>
      </c>
      <c r="X17" s="131">
        <f t="shared" si="11"/>
        <v>3947530.4944231482</v>
      </c>
    </row>
    <row r="18" spans="1:24" x14ac:dyDescent="0.35">
      <c r="A18" s="61" t="s">
        <v>53</v>
      </c>
      <c r="C18" s="130">
        <v>8515806</v>
      </c>
      <c r="D18" s="130">
        <v>0</v>
      </c>
      <c r="E18" s="130">
        <v>0</v>
      </c>
      <c r="F18" s="131">
        <f t="shared" si="0"/>
        <v>8515806</v>
      </c>
      <c r="H18" s="132">
        <f t="shared" si="1"/>
        <v>8515806</v>
      </c>
      <c r="I18" s="133">
        <f>MacroInformation!$D$29</f>
        <v>2.7099999999999999E-2</v>
      </c>
      <c r="J18" s="132">
        <f t="shared" si="2"/>
        <v>0</v>
      </c>
      <c r="K18" s="132">
        <f t="shared" si="3"/>
        <v>230778.3426</v>
      </c>
      <c r="L18" s="131">
        <f t="shared" si="4"/>
        <v>8746584.3696999997</v>
      </c>
      <c r="N18" s="132">
        <f t="shared" si="5"/>
        <v>8746584.3696999997</v>
      </c>
      <c r="O18" s="133">
        <f>MacroInformation!$D$30</f>
        <v>2.5700000000000001E-2</v>
      </c>
      <c r="P18" s="132">
        <f t="shared" si="6"/>
        <v>0</v>
      </c>
      <c r="Q18" s="132">
        <f t="shared" si="7"/>
        <v>224787.21830129001</v>
      </c>
      <c r="R18" s="131">
        <f t="shared" si="8"/>
        <v>8971371.6137012895</v>
      </c>
      <c r="T18" s="132">
        <f t="shared" si="9"/>
        <v>8971371.6137012895</v>
      </c>
      <c r="U18" s="133">
        <f>MacroInformation!$D$31</f>
        <v>2.6700000000000002E-2</v>
      </c>
      <c r="V18" s="132">
        <v>0</v>
      </c>
      <c r="W18" s="132">
        <f t="shared" si="10"/>
        <v>239535.62208582443</v>
      </c>
      <c r="X18" s="131">
        <f t="shared" si="11"/>
        <v>9210907.2624871135</v>
      </c>
    </row>
    <row r="19" spans="1:24" x14ac:dyDescent="0.35">
      <c r="A19" s="61" t="s">
        <v>54</v>
      </c>
      <c r="C19" s="130">
        <v>4810437</v>
      </c>
      <c r="D19" s="130">
        <v>0</v>
      </c>
      <c r="E19" s="130">
        <v>0</v>
      </c>
      <c r="F19" s="131">
        <f t="shared" si="0"/>
        <v>4810437</v>
      </c>
      <c r="H19" s="132">
        <f t="shared" si="1"/>
        <v>4810437</v>
      </c>
      <c r="I19" s="133">
        <f>MacroInformation!$D$29</f>
        <v>2.7099999999999999E-2</v>
      </c>
      <c r="J19" s="132">
        <f t="shared" si="2"/>
        <v>0</v>
      </c>
      <c r="K19" s="132">
        <f t="shared" si="3"/>
        <v>130362.84269999999</v>
      </c>
      <c r="L19" s="131">
        <f t="shared" si="4"/>
        <v>4940799.8697999995</v>
      </c>
      <c r="N19" s="132">
        <f t="shared" si="5"/>
        <v>4940799.8697999995</v>
      </c>
      <c r="O19" s="133">
        <f>MacroInformation!$D$30</f>
        <v>2.5700000000000001E-2</v>
      </c>
      <c r="P19" s="132">
        <f t="shared" si="6"/>
        <v>0</v>
      </c>
      <c r="Q19" s="132">
        <f t="shared" si="7"/>
        <v>126978.55665386</v>
      </c>
      <c r="R19" s="131">
        <f t="shared" si="8"/>
        <v>5067778.4521538597</v>
      </c>
      <c r="T19" s="132">
        <f t="shared" si="9"/>
        <v>5067778.4521538597</v>
      </c>
      <c r="U19" s="133">
        <f>MacroInformation!$D$31</f>
        <v>2.6700000000000002E-2</v>
      </c>
      <c r="V19" s="132">
        <v>0</v>
      </c>
      <c r="W19" s="132">
        <f t="shared" si="10"/>
        <v>135309.68467250807</v>
      </c>
      <c r="X19" s="131">
        <f t="shared" si="11"/>
        <v>5203088.1635263683</v>
      </c>
    </row>
    <row r="20" spans="1:24" x14ac:dyDescent="0.35">
      <c r="A20" s="61" t="s">
        <v>55</v>
      </c>
      <c r="C20" s="130">
        <v>9732352</v>
      </c>
      <c r="D20" s="130">
        <v>0</v>
      </c>
      <c r="E20" s="130">
        <v>0</v>
      </c>
      <c r="F20" s="131">
        <f t="shared" si="0"/>
        <v>9732352</v>
      </c>
      <c r="H20" s="132">
        <f t="shared" si="1"/>
        <v>9732352</v>
      </c>
      <c r="I20" s="133">
        <f>MacroInformation!$D$29</f>
        <v>2.7099999999999999E-2</v>
      </c>
      <c r="J20" s="132">
        <f t="shared" si="2"/>
        <v>0</v>
      </c>
      <c r="K20" s="132">
        <f t="shared" si="3"/>
        <v>263746.73920000001</v>
      </c>
      <c r="L20" s="131">
        <f t="shared" si="4"/>
        <v>9996098.7663000003</v>
      </c>
      <c r="N20" s="132">
        <f t="shared" si="5"/>
        <v>9996098.7663000003</v>
      </c>
      <c r="O20" s="133">
        <f>MacroInformation!$D$30</f>
        <v>2.5700000000000001E-2</v>
      </c>
      <c r="P20" s="132">
        <f t="shared" si="6"/>
        <v>0</v>
      </c>
      <c r="Q20" s="132">
        <f t="shared" si="7"/>
        <v>256899.73829391002</v>
      </c>
      <c r="R20" s="131">
        <f t="shared" si="8"/>
        <v>10252998.53029391</v>
      </c>
      <c r="T20" s="132">
        <f t="shared" si="9"/>
        <v>10252998.53029391</v>
      </c>
      <c r="U20" s="133">
        <f>MacroInformation!$D$31</f>
        <v>2.6700000000000002E-2</v>
      </c>
      <c r="V20" s="132">
        <v>0</v>
      </c>
      <c r="W20" s="132">
        <f t="shared" si="10"/>
        <v>273755.06075884739</v>
      </c>
      <c r="X20" s="131">
        <f t="shared" si="11"/>
        <v>10526753.617752757</v>
      </c>
    </row>
    <row r="21" spans="1:24" x14ac:dyDescent="0.35">
      <c r="A21" s="61" t="s">
        <v>56</v>
      </c>
      <c r="C21" s="130">
        <v>4810437</v>
      </c>
      <c r="D21" s="130">
        <v>0</v>
      </c>
      <c r="E21" s="130">
        <v>0</v>
      </c>
      <c r="F21" s="131">
        <f t="shared" si="0"/>
        <v>4810437</v>
      </c>
      <c r="H21" s="132">
        <f t="shared" si="1"/>
        <v>4810437</v>
      </c>
      <c r="I21" s="133">
        <f>MacroInformation!$D$29</f>
        <v>2.7099999999999999E-2</v>
      </c>
      <c r="J21" s="132">
        <f t="shared" si="2"/>
        <v>0</v>
      </c>
      <c r="K21" s="132">
        <f t="shared" si="3"/>
        <v>130362.84269999999</v>
      </c>
      <c r="L21" s="131">
        <f t="shared" si="4"/>
        <v>4940799.8697999995</v>
      </c>
      <c r="N21" s="132">
        <f t="shared" si="5"/>
        <v>4940799.8697999995</v>
      </c>
      <c r="O21" s="133">
        <f>MacroInformation!$D$30</f>
        <v>2.5700000000000001E-2</v>
      </c>
      <c r="P21" s="132">
        <f t="shared" si="6"/>
        <v>0</v>
      </c>
      <c r="Q21" s="132">
        <f t="shared" si="7"/>
        <v>126978.55665386</v>
      </c>
      <c r="R21" s="131">
        <f t="shared" si="8"/>
        <v>5067778.4521538597</v>
      </c>
      <c r="T21" s="132">
        <f t="shared" si="9"/>
        <v>5067778.4521538597</v>
      </c>
      <c r="U21" s="133">
        <f>MacroInformation!$D$31</f>
        <v>2.6700000000000002E-2</v>
      </c>
      <c r="V21" s="132">
        <v>0</v>
      </c>
      <c r="W21" s="132">
        <f t="shared" si="10"/>
        <v>135309.68467250807</v>
      </c>
      <c r="X21" s="131">
        <f t="shared" si="11"/>
        <v>5203088.1635263683</v>
      </c>
    </row>
    <row r="22" spans="1:24" x14ac:dyDescent="0.35">
      <c r="A22" s="61" t="s">
        <v>57</v>
      </c>
      <c r="C22" s="130">
        <v>6082720</v>
      </c>
      <c r="D22" s="130">
        <v>0</v>
      </c>
      <c r="E22" s="130">
        <v>0</v>
      </c>
      <c r="F22" s="131">
        <f t="shared" si="0"/>
        <v>6082720</v>
      </c>
      <c r="H22" s="132">
        <f t="shared" si="1"/>
        <v>6082720</v>
      </c>
      <c r="I22" s="133">
        <f>MacroInformation!$D$29</f>
        <v>2.7099999999999999E-2</v>
      </c>
      <c r="J22" s="132">
        <f t="shared" si="2"/>
        <v>0</v>
      </c>
      <c r="K22" s="132">
        <f t="shared" si="3"/>
        <v>164841.712</v>
      </c>
      <c r="L22" s="131">
        <f t="shared" si="4"/>
        <v>6247561.7390999999</v>
      </c>
      <c r="N22" s="132">
        <f t="shared" si="5"/>
        <v>6247561.7390999999</v>
      </c>
      <c r="O22" s="133">
        <f>MacroInformation!$D$30</f>
        <v>2.5700000000000001E-2</v>
      </c>
      <c r="P22" s="132">
        <f t="shared" si="6"/>
        <v>0</v>
      </c>
      <c r="Q22" s="132">
        <f t="shared" si="7"/>
        <v>160562.33669487</v>
      </c>
      <c r="R22" s="131">
        <f t="shared" si="8"/>
        <v>6408124.1014948701</v>
      </c>
      <c r="T22" s="132">
        <f t="shared" si="9"/>
        <v>6408124.1014948701</v>
      </c>
      <c r="U22" s="133">
        <f>MacroInformation!$D$31</f>
        <v>2.6700000000000002E-2</v>
      </c>
      <c r="V22" s="132">
        <v>0</v>
      </c>
      <c r="W22" s="132">
        <f t="shared" si="10"/>
        <v>171096.91350991305</v>
      </c>
      <c r="X22" s="131">
        <f t="shared" si="11"/>
        <v>6579221.0417047832</v>
      </c>
    </row>
    <row r="23" spans="1:24" x14ac:dyDescent="0.35">
      <c r="A23" s="61" t="s">
        <v>58</v>
      </c>
      <c r="C23" s="130">
        <v>7907534</v>
      </c>
      <c r="D23" s="130">
        <v>0</v>
      </c>
      <c r="E23" s="130">
        <v>0</v>
      </c>
      <c r="F23" s="131">
        <f t="shared" si="0"/>
        <v>7907534</v>
      </c>
      <c r="H23" s="132">
        <f t="shared" si="1"/>
        <v>7907534</v>
      </c>
      <c r="I23" s="133">
        <f>MacroInformation!$D$29</f>
        <v>2.7099999999999999E-2</v>
      </c>
      <c r="J23" s="132">
        <f t="shared" si="2"/>
        <v>0</v>
      </c>
      <c r="K23" s="132">
        <f t="shared" si="3"/>
        <v>214294.17139999999</v>
      </c>
      <c r="L23" s="131">
        <f t="shared" si="4"/>
        <v>8121828.1984999999</v>
      </c>
      <c r="N23" s="132">
        <f t="shared" si="5"/>
        <v>8121828.1984999999</v>
      </c>
      <c r="O23" s="133">
        <f>MacroInformation!$D$30</f>
        <v>2.5700000000000001E-2</v>
      </c>
      <c r="P23" s="132">
        <f t="shared" si="6"/>
        <v>0</v>
      </c>
      <c r="Q23" s="132">
        <f t="shared" si="7"/>
        <v>208730.98470145001</v>
      </c>
      <c r="R23" s="131">
        <f t="shared" si="8"/>
        <v>8330559.20890145</v>
      </c>
      <c r="T23" s="132">
        <f t="shared" si="9"/>
        <v>8330559.20890145</v>
      </c>
      <c r="U23" s="133">
        <f>MacroInformation!$D$31</f>
        <v>2.6700000000000002E-2</v>
      </c>
      <c r="V23" s="132">
        <v>0</v>
      </c>
      <c r="W23" s="132">
        <f t="shared" si="10"/>
        <v>222425.93087766872</v>
      </c>
      <c r="X23" s="131">
        <f t="shared" si="11"/>
        <v>8552985.1664791182</v>
      </c>
    </row>
    <row r="24" spans="1:24" x14ac:dyDescent="0.35">
      <c r="A24" s="61" t="s">
        <v>59</v>
      </c>
      <c r="C24" s="130">
        <v>3953766</v>
      </c>
      <c r="D24" s="130">
        <v>0</v>
      </c>
      <c r="E24" s="130">
        <v>0</v>
      </c>
      <c r="F24" s="131">
        <f t="shared" si="0"/>
        <v>3953766</v>
      </c>
      <c r="H24" s="132">
        <f t="shared" si="1"/>
        <v>3953766</v>
      </c>
      <c r="I24" s="133">
        <f>MacroInformation!$D$29</f>
        <v>2.7099999999999999E-2</v>
      </c>
      <c r="J24" s="132">
        <f t="shared" si="2"/>
        <v>0</v>
      </c>
      <c r="K24" s="132">
        <f t="shared" si="3"/>
        <v>107147.05859999999</v>
      </c>
      <c r="L24" s="131">
        <f t="shared" si="4"/>
        <v>4060913.0857000002</v>
      </c>
      <c r="N24" s="132">
        <f t="shared" si="5"/>
        <v>4060913.0857000002</v>
      </c>
      <c r="O24" s="133">
        <f>MacroInformation!$D$30</f>
        <v>2.5700000000000001E-2</v>
      </c>
      <c r="P24" s="132">
        <f t="shared" si="6"/>
        <v>0</v>
      </c>
      <c r="Q24" s="132">
        <f t="shared" si="7"/>
        <v>104365.46630249001</v>
      </c>
      <c r="R24" s="131">
        <f t="shared" si="8"/>
        <v>4165278.5777024901</v>
      </c>
      <c r="T24" s="132">
        <f t="shared" si="9"/>
        <v>4165278.5777024901</v>
      </c>
      <c r="U24" s="133">
        <f>MacroInformation!$D$31</f>
        <v>2.6700000000000002E-2</v>
      </c>
      <c r="V24" s="132">
        <v>0</v>
      </c>
      <c r="W24" s="132">
        <f t="shared" si="10"/>
        <v>111212.9380246565</v>
      </c>
      <c r="X24" s="131">
        <f t="shared" si="11"/>
        <v>4276491.5424271468</v>
      </c>
    </row>
    <row r="25" spans="1:24" x14ac:dyDescent="0.35">
      <c r="A25" s="61" t="s">
        <v>60</v>
      </c>
      <c r="C25" s="130">
        <v>3649630</v>
      </c>
      <c r="D25" s="130">
        <v>0</v>
      </c>
      <c r="E25" s="130">
        <v>0</v>
      </c>
      <c r="F25" s="131">
        <f t="shared" si="0"/>
        <v>3649630</v>
      </c>
      <c r="H25" s="132">
        <f t="shared" si="1"/>
        <v>3649630</v>
      </c>
      <c r="I25" s="133">
        <f>MacroInformation!$D$29</f>
        <v>2.7099999999999999E-2</v>
      </c>
      <c r="J25" s="132">
        <f t="shared" si="2"/>
        <v>0</v>
      </c>
      <c r="K25" s="132">
        <f t="shared" si="3"/>
        <v>98904.972999999998</v>
      </c>
      <c r="L25" s="131">
        <f t="shared" si="4"/>
        <v>3748535.0000999998</v>
      </c>
      <c r="N25" s="132">
        <f t="shared" si="5"/>
        <v>3748535.0000999998</v>
      </c>
      <c r="O25" s="133">
        <f>MacroInformation!$D$30</f>
        <v>2.5700000000000001E-2</v>
      </c>
      <c r="P25" s="132">
        <f t="shared" si="6"/>
        <v>0</v>
      </c>
      <c r="Q25" s="132">
        <f t="shared" si="7"/>
        <v>96337.349502569996</v>
      </c>
      <c r="R25" s="131">
        <f t="shared" si="8"/>
        <v>3844872.3753025699</v>
      </c>
      <c r="T25" s="132">
        <f t="shared" si="9"/>
        <v>3844872.3753025699</v>
      </c>
      <c r="U25" s="133">
        <f>MacroInformation!$D$31</f>
        <v>2.6700000000000002E-2</v>
      </c>
      <c r="V25" s="132">
        <v>0</v>
      </c>
      <c r="W25" s="132">
        <f t="shared" si="10"/>
        <v>102658.09242057863</v>
      </c>
      <c r="X25" s="131">
        <f t="shared" si="11"/>
        <v>3947530.4944231482</v>
      </c>
    </row>
    <row r="26" spans="1:24" x14ac:dyDescent="0.35">
      <c r="A26" s="61" t="s">
        <v>61</v>
      </c>
      <c r="C26" s="130">
        <v>15358864</v>
      </c>
      <c r="D26" s="130">
        <v>0</v>
      </c>
      <c r="E26" s="130">
        <v>0</v>
      </c>
      <c r="F26" s="131">
        <f t="shared" si="0"/>
        <v>15358864</v>
      </c>
      <c r="H26" s="132">
        <f t="shared" si="1"/>
        <v>15358864</v>
      </c>
      <c r="I26" s="133">
        <f>MacroInformation!$D$29</f>
        <v>2.7099999999999999E-2</v>
      </c>
      <c r="J26" s="132">
        <f t="shared" si="2"/>
        <v>0</v>
      </c>
      <c r="K26" s="132">
        <f t="shared" si="3"/>
        <v>416225.2144</v>
      </c>
      <c r="L26" s="131">
        <f t="shared" si="4"/>
        <v>15775089.241500001</v>
      </c>
      <c r="N26" s="132">
        <f t="shared" si="5"/>
        <v>15775089.241500001</v>
      </c>
      <c r="O26" s="133">
        <f>MacroInformation!$D$30</f>
        <v>2.5700000000000001E-2</v>
      </c>
      <c r="P26" s="132">
        <f t="shared" si="6"/>
        <v>0</v>
      </c>
      <c r="Q26" s="132">
        <f t="shared" si="7"/>
        <v>405419.79350655002</v>
      </c>
      <c r="R26" s="131">
        <f t="shared" si="8"/>
        <v>16180509.06070655</v>
      </c>
      <c r="T26" s="132">
        <f t="shared" si="9"/>
        <v>16180509.06070655</v>
      </c>
      <c r="U26" s="133">
        <f>MacroInformation!$D$31</f>
        <v>2.6700000000000002E-2</v>
      </c>
      <c r="V26" s="132">
        <v>0</v>
      </c>
      <c r="W26" s="132">
        <f t="shared" si="10"/>
        <v>432019.59192086494</v>
      </c>
      <c r="X26" s="131">
        <f t="shared" si="11"/>
        <v>16612528.679327415</v>
      </c>
    </row>
    <row r="27" spans="1:24" x14ac:dyDescent="0.35">
      <c r="A27" s="61" t="s">
        <v>62</v>
      </c>
      <c r="C27" s="130">
        <v>4810437</v>
      </c>
      <c r="D27" s="130">
        <v>0</v>
      </c>
      <c r="E27" s="130">
        <v>0</v>
      </c>
      <c r="F27" s="131">
        <f t="shared" si="0"/>
        <v>4810437</v>
      </c>
      <c r="H27" s="132">
        <f t="shared" si="1"/>
        <v>4810437</v>
      </c>
      <c r="I27" s="133">
        <f>MacroInformation!$D$29</f>
        <v>2.7099999999999999E-2</v>
      </c>
      <c r="J27" s="132">
        <f t="shared" si="2"/>
        <v>0</v>
      </c>
      <c r="K27" s="132">
        <f t="shared" si="3"/>
        <v>130362.84269999999</v>
      </c>
      <c r="L27" s="131">
        <f t="shared" si="4"/>
        <v>4940799.8697999995</v>
      </c>
      <c r="N27" s="132">
        <f t="shared" si="5"/>
        <v>4940799.8697999995</v>
      </c>
      <c r="O27" s="133">
        <f>MacroInformation!$D$30</f>
        <v>2.5700000000000001E-2</v>
      </c>
      <c r="P27" s="132">
        <f t="shared" si="6"/>
        <v>0</v>
      </c>
      <c r="Q27" s="132">
        <f t="shared" si="7"/>
        <v>126978.55665386</v>
      </c>
      <c r="R27" s="131">
        <f t="shared" si="8"/>
        <v>5067778.4521538597</v>
      </c>
      <c r="T27" s="132">
        <f t="shared" si="9"/>
        <v>5067778.4521538597</v>
      </c>
      <c r="U27" s="133">
        <f>MacroInformation!$D$31</f>
        <v>2.6700000000000002E-2</v>
      </c>
      <c r="V27" s="132">
        <v>0</v>
      </c>
      <c r="W27" s="132">
        <f t="shared" si="10"/>
        <v>135309.68467250807</v>
      </c>
      <c r="X27" s="131">
        <f t="shared" si="11"/>
        <v>5203088.1635263683</v>
      </c>
    </row>
    <row r="28" spans="1:24" x14ac:dyDescent="0.35">
      <c r="A28" s="61" t="s">
        <v>63</v>
      </c>
      <c r="C28" s="130">
        <v>4810437</v>
      </c>
      <c r="D28" s="130">
        <v>0</v>
      </c>
      <c r="E28" s="130">
        <v>0</v>
      </c>
      <c r="F28" s="131">
        <f t="shared" si="0"/>
        <v>4810437</v>
      </c>
      <c r="H28" s="132">
        <f t="shared" si="1"/>
        <v>4810437</v>
      </c>
      <c r="I28" s="133">
        <f>MacroInformation!$D$29</f>
        <v>2.7099999999999999E-2</v>
      </c>
      <c r="J28" s="132">
        <f t="shared" si="2"/>
        <v>0</v>
      </c>
      <c r="K28" s="132">
        <f t="shared" si="3"/>
        <v>130362.84269999999</v>
      </c>
      <c r="L28" s="131">
        <f t="shared" si="4"/>
        <v>4940799.8697999995</v>
      </c>
      <c r="N28" s="132">
        <f t="shared" si="5"/>
        <v>4940799.8697999995</v>
      </c>
      <c r="O28" s="133">
        <f>MacroInformation!$D$30</f>
        <v>2.5700000000000001E-2</v>
      </c>
      <c r="P28" s="132">
        <f t="shared" si="6"/>
        <v>0</v>
      </c>
      <c r="Q28" s="132">
        <f t="shared" si="7"/>
        <v>126978.55665386</v>
      </c>
      <c r="R28" s="131">
        <f t="shared" si="8"/>
        <v>5067778.4521538597</v>
      </c>
      <c r="T28" s="132">
        <f t="shared" si="9"/>
        <v>5067778.4521538597</v>
      </c>
      <c r="U28" s="133">
        <f>MacroInformation!$D$31</f>
        <v>2.6700000000000002E-2</v>
      </c>
      <c r="V28" s="132">
        <v>0</v>
      </c>
      <c r="W28" s="132">
        <f t="shared" si="10"/>
        <v>135309.68467250807</v>
      </c>
      <c r="X28" s="131">
        <f t="shared" si="11"/>
        <v>5203088.1635263683</v>
      </c>
    </row>
    <row r="29" spans="1:24" x14ac:dyDescent="0.35">
      <c r="A29" s="61" t="s">
        <v>64</v>
      </c>
      <c r="C29" s="130">
        <v>7299264</v>
      </c>
      <c r="D29" s="130">
        <v>0</v>
      </c>
      <c r="E29" s="130">
        <v>0</v>
      </c>
      <c r="F29" s="131">
        <f t="shared" si="0"/>
        <v>7299264</v>
      </c>
      <c r="H29" s="132">
        <f t="shared" si="1"/>
        <v>7299264</v>
      </c>
      <c r="I29" s="133">
        <f>MacroInformation!$D$29</f>
        <v>2.7099999999999999E-2</v>
      </c>
      <c r="J29" s="132">
        <f t="shared" si="2"/>
        <v>0</v>
      </c>
      <c r="K29" s="132">
        <f t="shared" si="3"/>
        <v>197810.05439999999</v>
      </c>
      <c r="L29" s="131">
        <f t="shared" si="4"/>
        <v>7497074.0814999994</v>
      </c>
      <c r="N29" s="132">
        <f t="shared" si="5"/>
        <v>7497074.0814999994</v>
      </c>
      <c r="O29" s="133">
        <f>MacroInformation!$D$30</f>
        <v>2.5700000000000001E-2</v>
      </c>
      <c r="P29" s="132">
        <f t="shared" si="6"/>
        <v>0</v>
      </c>
      <c r="Q29" s="132">
        <f t="shared" si="7"/>
        <v>192674.80389454999</v>
      </c>
      <c r="R29" s="131">
        <f t="shared" si="8"/>
        <v>7689748.9110945491</v>
      </c>
      <c r="T29" s="132">
        <f t="shared" si="9"/>
        <v>7689748.9110945491</v>
      </c>
      <c r="U29" s="133">
        <f>MacroInformation!$D$31</f>
        <v>2.6700000000000002E-2</v>
      </c>
      <c r="V29" s="132">
        <v>0</v>
      </c>
      <c r="W29" s="132">
        <f t="shared" si="10"/>
        <v>205316.29592622447</v>
      </c>
      <c r="X29" s="131">
        <f t="shared" si="11"/>
        <v>7895065.2337207738</v>
      </c>
    </row>
    <row r="30" spans="1:24" x14ac:dyDescent="0.35">
      <c r="A30" s="61" t="s">
        <v>65</v>
      </c>
      <c r="C30" s="130">
        <v>36496312</v>
      </c>
      <c r="D30" s="130">
        <v>0</v>
      </c>
      <c r="E30" s="130">
        <v>0</v>
      </c>
      <c r="F30" s="131">
        <f t="shared" si="0"/>
        <v>36496312</v>
      </c>
      <c r="H30" s="132">
        <f t="shared" si="1"/>
        <v>36496312</v>
      </c>
      <c r="I30" s="133">
        <f>MacroInformation!$D$29</f>
        <v>2.7099999999999999E-2</v>
      </c>
      <c r="J30" s="132">
        <f t="shared" si="2"/>
        <v>0</v>
      </c>
      <c r="K30" s="132">
        <f t="shared" si="3"/>
        <v>989050.05519999994</v>
      </c>
      <c r="L30" s="131">
        <f t="shared" si="4"/>
        <v>37485362.0823</v>
      </c>
      <c r="N30" s="132">
        <f t="shared" si="5"/>
        <v>37485362.0823</v>
      </c>
      <c r="O30" s="133">
        <f>MacroInformation!$D$30</f>
        <v>2.5700000000000001E-2</v>
      </c>
      <c r="P30" s="132">
        <f t="shared" si="6"/>
        <v>0</v>
      </c>
      <c r="Q30" s="132">
        <f t="shared" si="7"/>
        <v>963373.80551511003</v>
      </c>
      <c r="R30" s="131">
        <f t="shared" si="8"/>
        <v>38448735.913515113</v>
      </c>
      <c r="T30" s="132">
        <f t="shared" si="9"/>
        <v>38448735.913515113</v>
      </c>
      <c r="U30" s="133">
        <f>MacroInformation!$D$31</f>
        <v>2.6700000000000002E-2</v>
      </c>
      <c r="V30" s="132">
        <v>0</v>
      </c>
      <c r="W30" s="132">
        <f t="shared" si="10"/>
        <v>1026581.2488908536</v>
      </c>
      <c r="X30" s="131">
        <f t="shared" si="11"/>
        <v>39475317.189105965</v>
      </c>
    </row>
    <row r="31" spans="1:24" x14ac:dyDescent="0.35">
      <c r="A31" s="61" t="s">
        <v>66</v>
      </c>
      <c r="C31" s="130">
        <v>24330878</v>
      </c>
      <c r="D31" s="130">
        <v>0</v>
      </c>
      <c r="E31" s="130">
        <v>0</v>
      </c>
      <c r="F31" s="131">
        <f t="shared" si="0"/>
        <v>24330878</v>
      </c>
      <c r="H31" s="132">
        <f t="shared" si="1"/>
        <v>24330878</v>
      </c>
      <c r="I31" s="133">
        <f>MacroInformation!$D$29</f>
        <v>2.7099999999999999E-2</v>
      </c>
      <c r="J31" s="132">
        <f t="shared" si="2"/>
        <v>0</v>
      </c>
      <c r="K31" s="132">
        <f t="shared" si="3"/>
        <v>659366.79379999998</v>
      </c>
      <c r="L31" s="131">
        <f t="shared" si="4"/>
        <v>24990244.820900001</v>
      </c>
      <c r="N31" s="132">
        <f t="shared" si="5"/>
        <v>24990244.820900001</v>
      </c>
      <c r="O31" s="133">
        <f>MacroInformation!$D$30</f>
        <v>2.5700000000000001E-2</v>
      </c>
      <c r="P31" s="132">
        <f t="shared" si="6"/>
        <v>0</v>
      </c>
      <c r="Q31" s="132">
        <f t="shared" si="7"/>
        <v>642249.29189713008</v>
      </c>
      <c r="R31" s="131">
        <f t="shared" si="8"/>
        <v>25632494.138497129</v>
      </c>
      <c r="T31" s="132">
        <f t="shared" si="9"/>
        <v>25632494.138497129</v>
      </c>
      <c r="U31" s="133">
        <f>MacroInformation!$D$31</f>
        <v>2.6700000000000002E-2</v>
      </c>
      <c r="V31" s="132">
        <v>0</v>
      </c>
      <c r="W31" s="132">
        <f t="shared" si="10"/>
        <v>684387.5934978734</v>
      </c>
      <c r="X31" s="131">
        <f t="shared" si="11"/>
        <v>26316881.758695003</v>
      </c>
    </row>
    <row r="32" spans="1:24" x14ac:dyDescent="0.35">
      <c r="A32" s="61" t="s">
        <v>67</v>
      </c>
      <c r="C32" s="130">
        <v>3649630</v>
      </c>
      <c r="D32" s="130">
        <v>0</v>
      </c>
      <c r="E32" s="130">
        <v>0</v>
      </c>
      <c r="F32" s="131">
        <f t="shared" si="0"/>
        <v>3649630</v>
      </c>
      <c r="H32" s="132">
        <f t="shared" si="1"/>
        <v>3649630</v>
      </c>
      <c r="I32" s="133">
        <f>MacroInformation!$D$29</f>
        <v>2.7099999999999999E-2</v>
      </c>
      <c r="J32" s="132">
        <f t="shared" si="2"/>
        <v>0</v>
      </c>
      <c r="K32" s="132">
        <f t="shared" si="3"/>
        <v>98904.972999999998</v>
      </c>
      <c r="L32" s="131">
        <f t="shared" si="4"/>
        <v>3748535.0000999998</v>
      </c>
      <c r="N32" s="132">
        <f t="shared" si="5"/>
        <v>3748535.0000999998</v>
      </c>
      <c r="O32" s="133">
        <f>MacroInformation!$D$30</f>
        <v>2.5700000000000001E-2</v>
      </c>
      <c r="P32" s="132">
        <f t="shared" si="6"/>
        <v>0</v>
      </c>
      <c r="Q32" s="132">
        <f t="shared" si="7"/>
        <v>96337.349502569996</v>
      </c>
      <c r="R32" s="131">
        <f t="shared" si="8"/>
        <v>3844872.3753025699</v>
      </c>
      <c r="T32" s="132">
        <f t="shared" si="9"/>
        <v>3844872.3753025699</v>
      </c>
      <c r="U32" s="133">
        <f>MacroInformation!$D$31</f>
        <v>2.6700000000000002E-2</v>
      </c>
      <c r="V32" s="132">
        <v>0</v>
      </c>
      <c r="W32" s="132">
        <f t="shared" si="10"/>
        <v>102658.09242057863</v>
      </c>
      <c r="X32" s="131">
        <f t="shared" si="11"/>
        <v>3947530.4944231482</v>
      </c>
    </row>
    <row r="33" spans="1:24" x14ac:dyDescent="0.35">
      <c r="A33" s="61" t="s">
        <v>68</v>
      </c>
      <c r="C33" s="130">
        <v>5418709</v>
      </c>
      <c r="D33" s="130">
        <v>304136</v>
      </c>
      <c r="E33" s="130">
        <v>4745</v>
      </c>
      <c r="F33" s="131">
        <f t="shared" si="0"/>
        <v>5727590</v>
      </c>
      <c r="H33" s="132">
        <f t="shared" si="1"/>
        <v>5727590</v>
      </c>
      <c r="I33" s="133">
        <f>MacroInformation!$D$29</f>
        <v>2.7099999999999999E-2</v>
      </c>
      <c r="J33" s="132">
        <f t="shared" si="2"/>
        <v>304136</v>
      </c>
      <c r="K33" s="132">
        <f t="shared" si="3"/>
        <v>155217.68899999998</v>
      </c>
      <c r="L33" s="131">
        <f t="shared" si="4"/>
        <v>6186943.7160999998</v>
      </c>
      <c r="N33" s="132">
        <f t="shared" si="5"/>
        <v>6186943.7160999998</v>
      </c>
      <c r="O33" s="133">
        <f>MacroInformation!$D$30</f>
        <v>2.5700000000000001E-2</v>
      </c>
      <c r="P33" s="132">
        <f t="shared" si="6"/>
        <v>304136</v>
      </c>
      <c r="Q33" s="132">
        <f t="shared" si="7"/>
        <v>159004.45350377</v>
      </c>
      <c r="R33" s="131">
        <f t="shared" si="8"/>
        <v>6650084.1953037698</v>
      </c>
      <c r="T33" s="132">
        <f t="shared" si="9"/>
        <v>6650084.1953037698</v>
      </c>
      <c r="U33" s="133">
        <f>MacroInformation!$D$31</f>
        <v>2.6700000000000002E-2</v>
      </c>
      <c r="V33" s="132">
        <v>304136</v>
      </c>
      <c r="W33" s="132">
        <f t="shared" si="10"/>
        <v>177557.24801461067</v>
      </c>
      <c r="X33" s="131">
        <f t="shared" si="11"/>
        <v>7131777.4700183803</v>
      </c>
    </row>
    <row r="34" spans="1:24" x14ac:dyDescent="0.35">
      <c r="A34" s="61" t="s">
        <v>69</v>
      </c>
      <c r="C34" s="130">
        <v>6082720</v>
      </c>
      <c r="D34" s="130">
        <v>0</v>
      </c>
      <c r="E34" s="130">
        <v>0</v>
      </c>
      <c r="F34" s="131">
        <f t="shared" si="0"/>
        <v>6082720</v>
      </c>
      <c r="H34" s="132">
        <f t="shared" si="1"/>
        <v>6082720</v>
      </c>
      <c r="I34" s="133">
        <f>MacroInformation!$D$29</f>
        <v>2.7099999999999999E-2</v>
      </c>
      <c r="J34" s="132">
        <f t="shared" si="2"/>
        <v>0</v>
      </c>
      <c r="K34" s="132">
        <f t="shared" si="3"/>
        <v>164841.712</v>
      </c>
      <c r="L34" s="131">
        <f t="shared" si="4"/>
        <v>6247561.7390999999</v>
      </c>
      <c r="N34" s="132">
        <f t="shared" si="5"/>
        <v>6247561.7390999999</v>
      </c>
      <c r="O34" s="133">
        <f>MacroInformation!$D$30</f>
        <v>2.5700000000000001E-2</v>
      </c>
      <c r="P34" s="132">
        <f t="shared" si="6"/>
        <v>0</v>
      </c>
      <c r="Q34" s="132">
        <f t="shared" si="7"/>
        <v>160562.33669487</v>
      </c>
      <c r="R34" s="131">
        <f t="shared" si="8"/>
        <v>6408124.1014948701</v>
      </c>
      <c r="T34" s="132">
        <f t="shared" si="9"/>
        <v>6408124.1014948701</v>
      </c>
      <c r="U34" s="133">
        <f>MacroInformation!$D$31</f>
        <v>2.6700000000000002E-2</v>
      </c>
      <c r="V34" s="132">
        <v>0</v>
      </c>
      <c r="W34" s="132">
        <f t="shared" si="10"/>
        <v>171096.91350991305</v>
      </c>
      <c r="X34" s="131">
        <f t="shared" si="11"/>
        <v>6579221.0417047832</v>
      </c>
    </row>
    <row r="35" spans="1:24" x14ac:dyDescent="0.35">
      <c r="A35" s="61" t="s">
        <v>70</v>
      </c>
      <c r="C35" s="130">
        <v>6082720</v>
      </c>
      <c r="D35" s="130">
        <v>0</v>
      </c>
      <c r="E35" s="130">
        <v>0</v>
      </c>
      <c r="F35" s="131">
        <f t="shared" si="0"/>
        <v>6082720</v>
      </c>
      <c r="H35" s="132">
        <f t="shared" si="1"/>
        <v>6082720</v>
      </c>
      <c r="I35" s="133">
        <f>MacroInformation!$D$29</f>
        <v>2.7099999999999999E-2</v>
      </c>
      <c r="J35" s="132">
        <f t="shared" si="2"/>
        <v>0</v>
      </c>
      <c r="K35" s="132">
        <f t="shared" si="3"/>
        <v>164841.712</v>
      </c>
      <c r="L35" s="131">
        <f t="shared" si="4"/>
        <v>6247561.7390999999</v>
      </c>
      <c r="N35" s="132">
        <f t="shared" si="5"/>
        <v>6247561.7390999999</v>
      </c>
      <c r="O35" s="133">
        <f>MacroInformation!$D$30</f>
        <v>2.5700000000000001E-2</v>
      </c>
      <c r="P35" s="132">
        <f t="shared" si="6"/>
        <v>0</v>
      </c>
      <c r="Q35" s="132">
        <f t="shared" si="7"/>
        <v>160562.33669487</v>
      </c>
      <c r="R35" s="131">
        <f t="shared" si="8"/>
        <v>6408124.1014948701</v>
      </c>
      <c r="T35" s="132">
        <f t="shared" si="9"/>
        <v>6408124.1014948701</v>
      </c>
      <c r="U35" s="133">
        <f>MacroInformation!$D$31</f>
        <v>2.6700000000000002E-2</v>
      </c>
      <c r="V35" s="132">
        <v>0</v>
      </c>
      <c r="W35" s="132">
        <f t="shared" si="10"/>
        <v>171096.91350991305</v>
      </c>
      <c r="X35" s="131">
        <f t="shared" si="11"/>
        <v>6579221.0417047832</v>
      </c>
    </row>
    <row r="36" spans="1:24" x14ac:dyDescent="0.35">
      <c r="A36" s="61" t="s">
        <v>71</v>
      </c>
      <c r="C36" s="130">
        <v>3953766</v>
      </c>
      <c r="D36" s="130">
        <v>0</v>
      </c>
      <c r="E36" s="130">
        <v>0</v>
      </c>
      <c r="F36" s="131">
        <f t="shared" si="0"/>
        <v>3953766</v>
      </c>
      <c r="H36" s="132">
        <f t="shared" si="1"/>
        <v>3953766</v>
      </c>
      <c r="I36" s="133">
        <f>MacroInformation!$D$29</f>
        <v>2.7099999999999999E-2</v>
      </c>
      <c r="J36" s="132">
        <f t="shared" si="2"/>
        <v>0</v>
      </c>
      <c r="K36" s="132">
        <f t="shared" si="3"/>
        <v>107147.05859999999</v>
      </c>
      <c r="L36" s="131">
        <f t="shared" si="4"/>
        <v>4060913.0857000002</v>
      </c>
      <c r="N36" s="132">
        <f t="shared" si="5"/>
        <v>4060913.0857000002</v>
      </c>
      <c r="O36" s="133">
        <f>MacroInformation!$D$30</f>
        <v>2.5700000000000001E-2</v>
      </c>
      <c r="P36" s="132">
        <f t="shared" si="6"/>
        <v>0</v>
      </c>
      <c r="Q36" s="132">
        <f t="shared" si="7"/>
        <v>104365.46630249001</v>
      </c>
      <c r="R36" s="131">
        <f t="shared" si="8"/>
        <v>4165278.5777024901</v>
      </c>
      <c r="T36" s="132">
        <f t="shared" si="9"/>
        <v>4165278.5777024901</v>
      </c>
      <c r="U36" s="133">
        <f>MacroInformation!$D$31</f>
        <v>2.6700000000000002E-2</v>
      </c>
      <c r="V36" s="132">
        <v>0</v>
      </c>
      <c r="W36" s="132">
        <f t="shared" si="10"/>
        <v>111212.9380246565</v>
      </c>
      <c r="X36" s="131">
        <f t="shared" si="11"/>
        <v>4276491.5424271468</v>
      </c>
    </row>
    <row r="37" spans="1:24" x14ac:dyDescent="0.35">
      <c r="A37" s="61" t="s">
        <v>72</v>
      </c>
      <c r="C37" s="130">
        <v>6082720</v>
      </c>
      <c r="D37" s="130">
        <v>0</v>
      </c>
      <c r="E37" s="130">
        <v>0</v>
      </c>
      <c r="F37" s="131">
        <f t="shared" si="0"/>
        <v>6082720</v>
      </c>
      <c r="H37" s="132">
        <f t="shared" si="1"/>
        <v>6082720</v>
      </c>
      <c r="I37" s="133">
        <f>MacroInformation!$D$29</f>
        <v>2.7099999999999999E-2</v>
      </c>
      <c r="J37" s="132">
        <f t="shared" si="2"/>
        <v>0</v>
      </c>
      <c r="K37" s="132">
        <f t="shared" si="3"/>
        <v>164841.712</v>
      </c>
      <c r="L37" s="131">
        <f t="shared" si="4"/>
        <v>6247561.7390999999</v>
      </c>
      <c r="N37" s="132">
        <f t="shared" si="5"/>
        <v>6247561.7390999999</v>
      </c>
      <c r="O37" s="133">
        <f>MacroInformation!$D$30</f>
        <v>2.5700000000000001E-2</v>
      </c>
      <c r="P37" s="132">
        <f t="shared" si="6"/>
        <v>0</v>
      </c>
      <c r="Q37" s="132">
        <f t="shared" si="7"/>
        <v>160562.33669487</v>
      </c>
      <c r="R37" s="131">
        <f t="shared" si="8"/>
        <v>6408124.1014948701</v>
      </c>
      <c r="T37" s="132">
        <f t="shared" si="9"/>
        <v>6408124.1014948701</v>
      </c>
      <c r="U37" s="133">
        <f>MacroInformation!$D$31</f>
        <v>2.6700000000000002E-2</v>
      </c>
      <c r="V37" s="132">
        <v>0</v>
      </c>
      <c r="W37" s="132">
        <f t="shared" si="10"/>
        <v>171096.91350991305</v>
      </c>
      <c r="X37" s="131">
        <f t="shared" si="11"/>
        <v>6579221.0417047832</v>
      </c>
    </row>
    <row r="38" spans="1:24" x14ac:dyDescent="0.35">
      <c r="A38" s="61" t="s">
        <v>73</v>
      </c>
      <c r="C38" s="130">
        <v>6082720</v>
      </c>
      <c r="D38" s="130">
        <v>0</v>
      </c>
      <c r="E38" s="130">
        <v>0</v>
      </c>
      <c r="F38" s="131">
        <f t="shared" si="0"/>
        <v>6082720</v>
      </c>
      <c r="H38" s="132">
        <f t="shared" si="1"/>
        <v>6082720</v>
      </c>
      <c r="I38" s="133">
        <f>MacroInformation!$D$29</f>
        <v>2.7099999999999999E-2</v>
      </c>
      <c r="J38" s="132">
        <f t="shared" si="2"/>
        <v>0</v>
      </c>
      <c r="K38" s="132">
        <f t="shared" si="3"/>
        <v>164841.712</v>
      </c>
      <c r="L38" s="131">
        <f t="shared" si="4"/>
        <v>6247561.7390999999</v>
      </c>
      <c r="N38" s="132">
        <f t="shared" si="5"/>
        <v>6247561.7390999999</v>
      </c>
      <c r="O38" s="133">
        <f>MacroInformation!$D$30</f>
        <v>2.5700000000000001E-2</v>
      </c>
      <c r="P38" s="132">
        <f t="shared" si="6"/>
        <v>0</v>
      </c>
      <c r="Q38" s="132">
        <f t="shared" si="7"/>
        <v>160562.33669487</v>
      </c>
      <c r="R38" s="131">
        <f t="shared" si="8"/>
        <v>6408124.1014948701</v>
      </c>
      <c r="T38" s="132">
        <f t="shared" si="9"/>
        <v>6408124.1014948701</v>
      </c>
      <c r="U38" s="133">
        <f>MacroInformation!$D$31</f>
        <v>2.6700000000000002E-2</v>
      </c>
      <c r="V38" s="132">
        <v>0</v>
      </c>
      <c r="W38" s="132">
        <f t="shared" si="10"/>
        <v>171096.91350991305</v>
      </c>
      <c r="X38" s="131">
        <f t="shared" si="11"/>
        <v>6579221.0417047832</v>
      </c>
    </row>
    <row r="39" spans="1:24" x14ac:dyDescent="0.35">
      <c r="A39" s="61" t="s">
        <v>74</v>
      </c>
      <c r="C39" s="130">
        <v>4257902</v>
      </c>
      <c r="D39" s="130">
        <v>0</v>
      </c>
      <c r="E39" s="130">
        <v>0</v>
      </c>
      <c r="F39" s="131">
        <f t="shared" si="0"/>
        <v>4257902</v>
      </c>
      <c r="H39" s="132">
        <f t="shared" si="1"/>
        <v>4257902</v>
      </c>
      <c r="I39" s="133">
        <f>MacroInformation!$D$29</f>
        <v>2.7099999999999999E-2</v>
      </c>
      <c r="J39" s="132">
        <f t="shared" si="2"/>
        <v>0</v>
      </c>
      <c r="K39" s="132">
        <f t="shared" si="3"/>
        <v>115389.1442</v>
      </c>
      <c r="L39" s="131">
        <f t="shared" si="4"/>
        <v>4373291.1712999996</v>
      </c>
      <c r="N39" s="132">
        <f t="shared" si="5"/>
        <v>4373291.1712999996</v>
      </c>
      <c r="O39" s="133">
        <f>MacroInformation!$D$30</f>
        <v>2.5700000000000001E-2</v>
      </c>
      <c r="P39" s="132">
        <f t="shared" si="6"/>
        <v>0</v>
      </c>
      <c r="Q39" s="132">
        <f t="shared" si="7"/>
        <v>112393.58310240999</v>
      </c>
      <c r="R39" s="131">
        <f t="shared" si="8"/>
        <v>4485684.7801024094</v>
      </c>
      <c r="T39" s="132">
        <f t="shared" si="9"/>
        <v>4485684.7801024094</v>
      </c>
      <c r="U39" s="133">
        <f>MacroInformation!$D$31</f>
        <v>2.6700000000000002E-2</v>
      </c>
      <c r="V39" s="132">
        <v>0</v>
      </c>
      <c r="W39" s="132">
        <f t="shared" si="10"/>
        <v>119767.78362873434</v>
      </c>
      <c r="X39" s="131">
        <f t="shared" si="11"/>
        <v>4605452.5904311445</v>
      </c>
    </row>
    <row r="40" spans="1:24" x14ac:dyDescent="0.35">
      <c r="A40" s="61" t="s">
        <v>75</v>
      </c>
      <c r="C40" s="130">
        <v>9732352</v>
      </c>
      <c r="D40" s="130">
        <v>0</v>
      </c>
      <c r="E40" s="130">
        <v>0</v>
      </c>
      <c r="F40" s="131">
        <f t="shared" si="0"/>
        <v>9732352</v>
      </c>
      <c r="H40" s="132">
        <f t="shared" si="1"/>
        <v>9732352</v>
      </c>
      <c r="I40" s="133">
        <f>MacroInformation!$D$29</f>
        <v>2.7099999999999999E-2</v>
      </c>
      <c r="J40" s="132">
        <f t="shared" si="2"/>
        <v>0</v>
      </c>
      <c r="K40" s="132">
        <f t="shared" si="3"/>
        <v>263746.73920000001</v>
      </c>
      <c r="L40" s="131">
        <f t="shared" si="4"/>
        <v>9996098.7663000003</v>
      </c>
      <c r="N40" s="132">
        <f t="shared" si="5"/>
        <v>9996098.7663000003</v>
      </c>
      <c r="O40" s="133">
        <f>MacroInformation!$D$30</f>
        <v>2.5700000000000001E-2</v>
      </c>
      <c r="P40" s="132">
        <f t="shared" si="6"/>
        <v>0</v>
      </c>
      <c r="Q40" s="132">
        <f t="shared" si="7"/>
        <v>256899.73829391002</v>
      </c>
      <c r="R40" s="131">
        <f t="shared" si="8"/>
        <v>10252998.53029391</v>
      </c>
      <c r="T40" s="132">
        <f t="shared" si="9"/>
        <v>10252998.53029391</v>
      </c>
      <c r="U40" s="133">
        <f>MacroInformation!$D$31</f>
        <v>2.6700000000000002E-2</v>
      </c>
      <c r="V40" s="132">
        <v>0</v>
      </c>
      <c r="W40" s="132">
        <f t="shared" si="10"/>
        <v>273755.06075884739</v>
      </c>
      <c r="X40" s="131">
        <f t="shared" si="11"/>
        <v>10526753.617752757</v>
      </c>
    </row>
    <row r="41" spans="1:24" x14ac:dyDescent="0.35">
      <c r="A41" s="61" t="s">
        <v>76</v>
      </c>
      <c r="C41" s="130">
        <v>4866174</v>
      </c>
      <c r="D41" s="130">
        <v>0</v>
      </c>
      <c r="E41" s="130">
        <v>0</v>
      </c>
      <c r="F41" s="131">
        <f t="shared" si="0"/>
        <v>4866174</v>
      </c>
      <c r="H41" s="132">
        <f t="shared" si="1"/>
        <v>4866174</v>
      </c>
      <c r="I41" s="133">
        <f>MacroInformation!$D$29</f>
        <v>2.7099999999999999E-2</v>
      </c>
      <c r="J41" s="132">
        <f t="shared" si="2"/>
        <v>0</v>
      </c>
      <c r="K41" s="132">
        <f t="shared" si="3"/>
        <v>131873.31539999999</v>
      </c>
      <c r="L41" s="131">
        <f t="shared" si="4"/>
        <v>4998047.3424999993</v>
      </c>
      <c r="N41" s="132">
        <f t="shared" si="5"/>
        <v>4998047.3424999993</v>
      </c>
      <c r="O41" s="133">
        <f>MacroInformation!$D$30</f>
        <v>2.5700000000000001E-2</v>
      </c>
      <c r="P41" s="132">
        <f t="shared" si="6"/>
        <v>0</v>
      </c>
      <c r="Q41" s="132">
        <f t="shared" si="7"/>
        <v>128449.81670224998</v>
      </c>
      <c r="R41" s="131">
        <f t="shared" si="8"/>
        <v>5126497.1849022498</v>
      </c>
      <c r="T41" s="132">
        <f t="shared" si="9"/>
        <v>5126497.1849022498</v>
      </c>
      <c r="U41" s="133">
        <f>MacroInformation!$D$31</f>
        <v>2.6700000000000002E-2</v>
      </c>
      <c r="V41" s="132">
        <v>0</v>
      </c>
      <c r="W41" s="132">
        <f t="shared" si="10"/>
        <v>136877.47483689009</v>
      </c>
      <c r="X41" s="131">
        <f t="shared" si="11"/>
        <v>5263374.6864391398</v>
      </c>
    </row>
    <row r="42" spans="1:24" x14ac:dyDescent="0.35">
      <c r="A42" s="61" t="s">
        <v>77</v>
      </c>
      <c r="C42" s="130">
        <v>4962505</v>
      </c>
      <c r="D42" s="130">
        <v>0</v>
      </c>
      <c r="E42" s="130">
        <v>0</v>
      </c>
      <c r="F42" s="131">
        <f t="shared" si="0"/>
        <v>4962505</v>
      </c>
      <c r="H42" s="132">
        <f t="shared" si="1"/>
        <v>4962505</v>
      </c>
      <c r="I42" s="133">
        <f>MacroInformation!$D$29</f>
        <v>2.7099999999999999E-2</v>
      </c>
      <c r="J42" s="132">
        <f t="shared" si="2"/>
        <v>0</v>
      </c>
      <c r="K42" s="132">
        <f t="shared" si="3"/>
        <v>134483.8855</v>
      </c>
      <c r="L42" s="131">
        <f t="shared" si="4"/>
        <v>5096988.9125999995</v>
      </c>
      <c r="N42" s="132">
        <f t="shared" si="5"/>
        <v>5096988.9125999995</v>
      </c>
      <c r="O42" s="133">
        <f>MacroInformation!$D$30</f>
        <v>2.5700000000000001E-2</v>
      </c>
      <c r="P42" s="132">
        <f t="shared" si="6"/>
        <v>0</v>
      </c>
      <c r="Q42" s="132">
        <f t="shared" si="7"/>
        <v>130992.61505381999</v>
      </c>
      <c r="R42" s="131">
        <f t="shared" si="8"/>
        <v>5227981.55335382</v>
      </c>
      <c r="T42" s="132">
        <f t="shared" si="9"/>
        <v>5227981.55335382</v>
      </c>
      <c r="U42" s="133">
        <f>MacroInformation!$D$31</f>
        <v>2.6700000000000002E-2</v>
      </c>
      <c r="V42" s="132">
        <v>0</v>
      </c>
      <c r="W42" s="132">
        <f t="shared" si="10"/>
        <v>139587.107474547</v>
      </c>
      <c r="X42" s="131">
        <f t="shared" si="11"/>
        <v>5367568.6875283672</v>
      </c>
    </row>
    <row r="43" spans="1:24" x14ac:dyDescent="0.35">
      <c r="A43" s="61" t="s">
        <v>78</v>
      </c>
      <c r="C43" s="130">
        <v>7299264</v>
      </c>
      <c r="D43" s="130">
        <v>0</v>
      </c>
      <c r="E43" s="130">
        <v>0</v>
      </c>
      <c r="F43" s="131">
        <f t="shared" si="0"/>
        <v>7299264</v>
      </c>
      <c r="H43" s="132">
        <f t="shared" si="1"/>
        <v>7299264</v>
      </c>
      <c r="I43" s="133">
        <f>MacroInformation!$D$29</f>
        <v>2.7099999999999999E-2</v>
      </c>
      <c r="J43" s="132">
        <f t="shared" si="2"/>
        <v>0</v>
      </c>
      <c r="K43" s="132">
        <f t="shared" si="3"/>
        <v>197810.05439999999</v>
      </c>
      <c r="L43" s="131">
        <f t="shared" si="4"/>
        <v>7497074.0814999994</v>
      </c>
      <c r="N43" s="132">
        <f t="shared" si="5"/>
        <v>7497074.0814999994</v>
      </c>
      <c r="O43" s="133">
        <f>MacroInformation!$D$30</f>
        <v>2.5700000000000001E-2</v>
      </c>
      <c r="P43" s="132">
        <f t="shared" si="6"/>
        <v>0</v>
      </c>
      <c r="Q43" s="132">
        <f t="shared" si="7"/>
        <v>192674.80389454999</v>
      </c>
      <c r="R43" s="131">
        <f t="shared" si="8"/>
        <v>7689748.9110945491</v>
      </c>
      <c r="T43" s="132">
        <f t="shared" si="9"/>
        <v>7689748.9110945491</v>
      </c>
      <c r="U43" s="133">
        <f>MacroInformation!$D$31</f>
        <v>2.6700000000000002E-2</v>
      </c>
      <c r="V43" s="132">
        <v>0</v>
      </c>
      <c r="W43" s="132">
        <f t="shared" si="10"/>
        <v>205316.29592622447</v>
      </c>
      <c r="X43" s="131">
        <f t="shared" si="11"/>
        <v>7895065.2337207738</v>
      </c>
    </row>
    <row r="44" spans="1:24" x14ac:dyDescent="0.35">
      <c r="A44" s="61" t="s">
        <v>79</v>
      </c>
      <c r="C44" s="130">
        <v>7299264</v>
      </c>
      <c r="D44" s="130">
        <v>0</v>
      </c>
      <c r="E44" s="130">
        <v>0</v>
      </c>
      <c r="F44" s="131">
        <f t="shared" si="0"/>
        <v>7299264</v>
      </c>
      <c r="H44" s="132">
        <f t="shared" si="1"/>
        <v>7299264</v>
      </c>
      <c r="I44" s="133">
        <f>MacroInformation!$D$29</f>
        <v>2.7099999999999999E-2</v>
      </c>
      <c r="J44" s="132">
        <f t="shared" si="2"/>
        <v>0</v>
      </c>
      <c r="K44" s="132">
        <f t="shared" si="3"/>
        <v>197810.05439999999</v>
      </c>
      <c r="L44" s="131">
        <f t="shared" si="4"/>
        <v>7497074.0814999994</v>
      </c>
      <c r="N44" s="132">
        <f t="shared" si="5"/>
        <v>7497074.0814999994</v>
      </c>
      <c r="O44" s="133">
        <f>MacroInformation!$D$30</f>
        <v>2.5700000000000001E-2</v>
      </c>
      <c r="P44" s="132">
        <f t="shared" si="6"/>
        <v>0</v>
      </c>
      <c r="Q44" s="132">
        <f t="shared" si="7"/>
        <v>192674.80389454999</v>
      </c>
      <c r="R44" s="131">
        <f t="shared" si="8"/>
        <v>7689748.9110945491</v>
      </c>
      <c r="T44" s="132">
        <f t="shared" si="9"/>
        <v>7689748.9110945491</v>
      </c>
      <c r="U44" s="133">
        <f>MacroInformation!$D$31</f>
        <v>2.6700000000000002E-2</v>
      </c>
      <c r="V44" s="132">
        <v>0</v>
      </c>
      <c r="W44" s="132">
        <f t="shared" si="10"/>
        <v>205316.29592622447</v>
      </c>
      <c r="X44" s="131">
        <f t="shared" si="11"/>
        <v>7895065.2337207738</v>
      </c>
    </row>
    <row r="45" spans="1:24" x14ac:dyDescent="0.35">
      <c r="A45" s="61" t="s">
        <v>80</v>
      </c>
      <c r="C45" s="130">
        <v>14598520</v>
      </c>
      <c r="D45" s="130">
        <v>0</v>
      </c>
      <c r="E45" s="130">
        <v>0</v>
      </c>
      <c r="F45" s="131">
        <f t="shared" si="0"/>
        <v>14598520</v>
      </c>
      <c r="H45" s="132">
        <f t="shared" si="1"/>
        <v>14598520</v>
      </c>
      <c r="I45" s="133">
        <f>MacroInformation!$D$29</f>
        <v>2.7099999999999999E-2</v>
      </c>
      <c r="J45" s="132">
        <f t="shared" si="2"/>
        <v>0</v>
      </c>
      <c r="K45" s="132">
        <f t="shared" si="3"/>
        <v>395619.89199999999</v>
      </c>
      <c r="L45" s="131">
        <f t="shared" si="4"/>
        <v>14994139.919100001</v>
      </c>
      <c r="N45" s="132">
        <f t="shared" si="5"/>
        <v>14994139.919100001</v>
      </c>
      <c r="O45" s="133">
        <f>MacroInformation!$D$30</f>
        <v>2.5700000000000001E-2</v>
      </c>
      <c r="P45" s="132">
        <f t="shared" si="6"/>
        <v>0</v>
      </c>
      <c r="Q45" s="132">
        <f t="shared" si="7"/>
        <v>385349.39592087007</v>
      </c>
      <c r="R45" s="131">
        <f t="shared" si="8"/>
        <v>15379489.340720871</v>
      </c>
      <c r="T45" s="132">
        <f t="shared" si="9"/>
        <v>15379489.340720871</v>
      </c>
      <c r="U45" s="133">
        <f>MacroInformation!$D$31</f>
        <v>2.6700000000000002E-2</v>
      </c>
      <c r="V45" s="132">
        <v>0</v>
      </c>
      <c r="W45" s="132">
        <f t="shared" si="10"/>
        <v>410632.36539724731</v>
      </c>
      <c r="X45" s="131">
        <f t="shared" si="11"/>
        <v>15790121.732818117</v>
      </c>
    </row>
    <row r="46" spans="1:24" x14ac:dyDescent="0.35">
      <c r="A46" s="61" t="s">
        <v>81</v>
      </c>
      <c r="C46" s="130">
        <v>10948894</v>
      </c>
      <c r="D46" s="130">
        <v>0</v>
      </c>
      <c r="E46" s="130">
        <v>0</v>
      </c>
      <c r="F46" s="131">
        <f t="shared" si="0"/>
        <v>10948894</v>
      </c>
      <c r="H46" s="132">
        <f t="shared" si="1"/>
        <v>10948894</v>
      </c>
      <c r="I46" s="133">
        <f>MacroInformation!$D$29</f>
        <v>2.7099999999999999E-2</v>
      </c>
      <c r="J46" s="132">
        <f t="shared" si="2"/>
        <v>0</v>
      </c>
      <c r="K46" s="132">
        <f t="shared" si="3"/>
        <v>296715.02739999996</v>
      </c>
      <c r="L46" s="131">
        <f t="shared" si="4"/>
        <v>11245609.054500001</v>
      </c>
      <c r="N46" s="132">
        <f t="shared" si="5"/>
        <v>11245609.054500001</v>
      </c>
      <c r="O46" s="133">
        <f>MacroInformation!$D$30</f>
        <v>2.5700000000000001E-2</v>
      </c>
      <c r="P46" s="132">
        <f t="shared" si="6"/>
        <v>0</v>
      </c>
      <c r="Q46" s="132">
        <f t="shared" si="7"/>
        <v>289012.15270065004</v>
      </c>
      <c r="R46" s="131">
        <f t="shared" si="8"/>
        <v>11534621.232900649</v>
      </c>
      <c r="T46" s="132">
        <f t="shared" si="9"/>
        <v>11534621.232900649</v>
      </c>
      <c r="U46" s="133">
        <f>MacroInformation!$D$31</f>
        <v>2.6700000000000002E-2</v>
      </c>
      <c r="V46" s="132">
        <v>0</v>
      </c>
      <c r="W46" s="132">
        <f t="shared" si="10"/>
        <v>307974.38691844733</v>
      </c>
      <c r="X46" s="131">
        <f t="shared" si="11"/>
        <v>11842595.646519097</v>
      </c>
    </row>
    <row r="47" spans="1:24" x14ac:dyDescent="0.35">
      <c r="A47" s="61" t="s">
        <v>82</v>
      </c>
      <c r="C47" s="130">
        <v>5722845</v>
      </c>
      <c r="D47" s="130">
        <v>-304136</v>
      </c>
      <c r="E47" s="130">
        <v>-4745</v>
      </c>
      <c r="F47" s="131">
        <f t="shared" si="0"/>
        <v>5413964</v>
      </c>
      <c r="H47" s="132">
        <f t="shared" si="1"/>
        <v>5413964</v>
      </c>
      <c r="I47" s="133">
        <f>MacroInformation!$D$29</f>
        <v>2.7099999999999999E-2</v>
      </c>
      <c r="J47" s="132">
        <f t="shared" si="2"/>
        <v>-304136</v>
      </c>
      <c r="K47" s="132">
        <f t="shared" si="3"/>
        <v>146718.42439999999</v>
      </c>
      <c r="L47" s="131">
        <f t="shared" si="4"/>
        <v>5256546.4514999995</v>
      </c>
      <c r="N47" s="132">
        <f t="shared" si="5"/>
        <v>5256546.4514999995</v>
      </c>
      <c r="O47" s="133">
        <f>MacroInformation!$D$30</f>
        <v>2.5700000000000001E-2</v>
      </c>
      <c r="P47" s="132">
        <f t="shared" si="6"/>
        <v>-304136</v>
      </c>
      <c r="Q47" s="132">
        <f t="shared" si="7"/>
        <v>135093.24380354999</v>
      </c>
      <c r="R47" s="131">
        <f t="shared" si="8"/>
        <v>5087503.7210035492</v>
      </c>
      <c r="T47" s="132">
        <f t="shared" si="9"/>
        <v>5087503.7210035492</v>
      </c>
      <c r="U47" s="133">
        <f>MacroInformation!$D$31</f>
        <v>2.6700000000000002E-2</v>
      </c>
      <c r="V47" s="132">
        <v>-304136</v>
      </c>
      <c r="W47" s="132">
        <f t="shared" si="10"/>
        <v>135836.34935079477</v>
      </c>
      <c r="X47" s="131">
        <f t="shared" si="11"/>
        <v>4919204.0970543446</v>
      </c>
    </row>
    <row r="48" spans="1:24" x14ac:dyDescent="0.35">
      <c r="A48" s="61" t="s">
        <v>83</v>
      </c>
      <c r="C48" s="130">
        <v>4866176</v>
      </c>
      <c r="D48" s="130">
        <v>0</v>
      </c>
      <c r="E48" s="130">
        <v>0</v>
      </c>
      <c r="F48" s="131">
        <f t="shared" si="0"/>
        <v>4866176</v>
      </c>
      <c r="H48" s="132">
        <f t="shared" si="1"/>
        <v>4866176</v>
      </c>
      <c r="I48" s="133">
        <f>MacroInformation!$D$29</f>
        <v>2.7099999999999999E-2</v>
      </c>
      <c r="J48" s="132">
        <f t="shared" si="2"/>
        <v>0</v>
      </c>
      <c r="K48" s="132">
        <f t="shared" si="3"/>
        <v>131873.36960000001</v>
      </c>
      <c r="L48" s="131">
        <f t="shared" si="4"/>
        <v>4998049.3966999995</v>
      </c>
      <c r="N48" s="132">
        <f t="shared" si="5"/>
        <v>4998049.3966999995</v>
      </c>
      <c r="O48" s="133">
        <f>MacroInformation!$D$30</f>
        <v>2.5700000000000001E-2</v>
      </c>
      <c r="P48" s="132">
        <f t="shared" si="6"/>
        <v>0</v>
      </c>
      <c r="Q48" s="132">
        <f t="shared" si="7"/>
        <v>128449.86949519</v>
      </c>
      <c r="R48" s="131">
        <f t="shared" si="8"/>
        <v>5126499.2918951893</v>
      </c>
      <c r="T48" s="132">
        <f t="shared" si="9"/>
        <v>5126499.2918951893</v>
      </c>
      <c r="U48" s="133">
        <f>MacroInformation!$D$31</f>
        <v>2.6700000000000002E-2</v>
      </c>
      <c r="V48" s="132">
        <v>0</v>
      </c>
      <c r="W48" s="132">
        <f t="shared" si="10"/>
        <v>136877.53109360157</v>
      </c>
      <c r="X48" s="131">
        <f t="shared" si="11"/>
        <v>5263376.8496887907</v>
      </c>
    </row>
    <row r="49" spans="1:24" x14ac:dyDescent="0.35">
      <c r="A49" s="61" t="s">
        <v>84</v>
      </c>
      <c r="C49" s="130">
        <v>11557164</v>
      </c>
      <c r="D49" s="130">
        <v>0</v>
      </c>
      <c r="E49" s="130">
        <v>0</v>
      </c>
      <c r="F49" s="131">
        <f t="shared" si="0"/>
        <v>11557164</v>
      </c>
      <c r="H49" s="132">
        <f t="shared" si="1"/>
        <v>11557164</v>
      </c>
      <c r="I49" s="133">
        <f>MacroInformation!$D$29</f>
        <v>2.7099999999999999E-2</v>
      </c>
      <c r="J49" s="132">
        <f t="shared" si="2"/>
        <v>0</v>
      </c>
      <c r="K49" s="132">
        <f t="shared" si="3"/>
        <v>313199.14439999999</v>
      </c>
      <c r="L49" s="131">
        <f t="shared" si="4"/>
        <v>11870363.171500001</v>
      </c>
      <c r="N49" s="132">
        <f t="shared" si="5"/>
        <v>11870363.171500001</v>
      </c>
      <c r="O49" s="133">
        <f>MacroInformation!$D$30</f>
        <v>2.5700000000000001E-2</v>
      </c>
      <c r="P49" s="132">
        <f t="shared" si="6"/>
        <v>0</v>
      </c>
      <c r="Q49" s="132">
        <f t="shared" si="7"/>
        <v>305068.33350755001</v>
      </c>
      <c r="R49" s="131">
        <f t="shared" si="8"/>
        <v>12175431.530707551</v>
      </c>
      <c r="T49" s="132">
        <f t="shared" si="9"/>
        <v>12175431.530707551</v>
      </c>
      <c r="U49" s="133">
        <f>MacroInformation!$D$31</f>
        <v>2.6700000000000002E-2</v>
      </c>
      <c r="V49" s="132">
        <v>0</v>
      </c>
      <c r="W49" s="132">
        <f t="shared" si="10"/>
        <v>325084.02186989161</v>
      </c>
      <c r="X49" s="131">
        <f t="shared" si="11"/>
        <v>12500515.579277443</v>
      </c>
    </row>
    <row r="50" spans="1:24" x14ac:dyDescent="0.35">
      <c r="A50" s="61" t="s">
        <v>85</v>
      </c>
      <c r="C50" s="130">
        <v>7907534</v>
      </c>
      <c r="D50" s="130">
        <v>0</v>
      </c>
      <c r="E50" s="130">
        <v>0</v>
      </c>
      <c r="F50" s="131">
        <f t="shared" si="0"/>
        <v>7907534</v>
      </c>
      <c r="H50" s="132">
        <f t="shared" si="1"/>
        <v>7907534</v>
      </c>
      <c r="I50" s="133">
        <f>MacroInformation!$D$29</f>
        <v>2.7099999999999999E-2</v>
      </c>
      <c r="J50" s="132">
        <f t="shared" si="2"/>
        <v>0</v>
      </c>
      <c r="K50" s="132">
        <f t="shared" si="3"/>
        <v>214294.17139999999</v>
      </c>
      <c r="L50" s="131">
        <f t="shared" si="4"/>
        <v>8121828.1984999999</v>
      </c>
      <c r="N50" s="132">
        <f t="shared" si="5"/>
        <v>8121828.1984999999</v>
      </c>
      <c r="O50" s="133">
        <f>MacroInformation!$D$30</f>
        <v>2.5700000000000001E-2</v>
      </c>
      <c r="P50" s="132">
        <f t="shared" si="6"/>
        <v>0</v>
      </c>
      <c r="Q50" s="132">
        <f t="shared" si="7"/>
        <v>208730.98470145001</v>
      </c>
      <c r="R50" s="131">
        <f t="shared" si="8"/>
        <v>8330559.20890145</v>
      </c>
      <c r="T50" s="132">
        <f t="shared" si="9"/>
        <v>8330559.20890145</v>
      </c>
      <c r="U50" s="133">
        <f>MacroInformation!$D$31</f>
        <v>2.6700000000000002E-2</v>
      </c>
      <c r="V50" s="132">
        <v>0</v>
      </c>
      <c r="W50" s="132">
        <f t="shared" si="10"/>
        <v>222425.93087766872</v>
      </c>
      <c r="X50" s="131">
        <f t="shared" si="11"/>
        <v>8552985.1664791182</v>
      </c>
    </row>
    <row r="51" spans="1:24" x14ac:dyDescent="0.35">
      <c r="A51" s="61" t="s">
        <v>86</v>
      </c>
      <c r="C51" s="130">
        <v>18856432</v>
      </c>
      <c r="D51" s="130">
        <v>0</v>
      </c>
      <c r="E51" s="130">
        <v>0</v>
      </c>
      <c r="F51" s="131">
        <f t="shared" si="0"/>
        <v>18856432</v>
      </c>
      <c r="H51" s="132">
        <f t="shared" si="1"/>
        <v>18856432</v>
      </c>
      <c r="I51" s="133">
        <f>MacroInformation!$D$29</f>
        <v>2.7099999999999999E-2</v>
      </c>
      <c r="J51" s="132">
        <f t="shared" si="2"/>
        <v>0</v>
      </c>
      <c r="K51" s="132">
        <f t="shared" si="3"/>
        <v>511009.30719999998</v>
      </c>
      <c r="L51" s="131">
        <f t="shared" si="4"/>
        <v>19367441.3343</v>
      </c>
      <c r="N51" s="132">
        <f t="shared" si="5"/>
        <v>19367441.3343</v>
      </c>
      <c r="O51" s="133">
        <f>MacroInformation!$D$30</f>
        <v>2.5700000000000001E-2</v>
      </c>
      <c r="P51" s="132">
        <f t="shared" si="6"/>
        <v>0</v>
      </c>
      <c r="Q51" s="132">
        <f t="shared" si="7"/>
        <v>497743.24229150999</v>
      </c>
      <c r="R51" s="131">
        <f t="shared" si="8"/>
        <v>19865184.60229151</v>
      </c>
      <c r="T51" s="132">
        <f t="shared" si="9"/>
        <v>19865184.60229151</v>
      </c>
      <c r="U51" s="133">
        <f>MacroInformation!$D$31</f>
        <v>2.6700000000000002E-2</v>
      </c>
      <c r="V51" s="132">
        <v>0</v>
      </c>
      <c r="W51" s="132">
        <f t="shared" si="10"/>
        <v>530400.42888118338</v>
      </c>
      <c r="X51" s="131">
        <f t="shared" si="11"/>
        <v>20395585.057872694</v>
      </c>
    </row>
    <row r="52" spans="1:24" x14ac:dyDescent="0.35">
      <c r="A52" s="61" t="s">
        <v>87</v>
      </c>
      <c r="C52" s="130">
        <v>13442811</v>
      </c>
      <c r="D52" s="130">
        <v>-821168</v>
      </c>
      <c r="E52" s="130">
        <v>-12810</v>
      </c>
      <c r="F52" s="131">
        <f t="shared" si="0"/>
        <v>12608833</v>
      </c>
      <c r="H52" s="132">
        <f t="shared" si="1"/>
        <v>12608833</v>
      </c>
      <c r="I52" s="133">
        <f>MacroInformation!$D$29</f>
        <v>2.7099999999999999E-2</v>
      </c>
      <c r="J52" s="132">
        <f t="shared" si="2"/>
        <v>-821168</v>
      </c>
      <c r="K52" s="132">
        <f t="shared" si="3"/>
        <v>341699.37429999997</v>
      </c>
      <c r="L52" s="131">
        <f t="shared" si="4"/>
        <v>12129364.4014</v>
      </c>
      <c r="N52" s="132">
        <f t="shared" si="5"/>
        <v>12129364.4014</v>
      </c>
      <c r="O52" s="133">
        <f>MacroInformation!$D$30</f>
        <v>2.5700000000000001E-2</v>
      </c>
      <c r="P52" s="132">
        <f t="shared" si="6"/>
        <v>-821168</v>
      </c>
      <c r="Q52" s="132">
        <f t="shared" si="7"/>
        <v>311724.66511598002</v>
      </c>
      <c r="R52" s="131">
        <f t="shared" si="8"/>
        <v>11619921.092215979</v>
      </c>
      <c r="T52" s="132">
        <f t="shared" si="9"/>
        <v>11619921.092215979</v>
      </c>
      <c r="U52" s="133">
        <f>MacroInformation!$D$31</f>
        <v>2.6700000000000002E-2</v>
      </c>
      <c r="V52" s="132">
        <v>-821168</v>
      </c>
      <c r="W52" s="132">
        <f t="shared" si="10"/>
        <v>310251.89316216664</v>
      </c>
      <c r="X52" s="131">
        <f t="shared" si="11"/>
        <v>11109005.012078146</v>
      </c>
    </row>
    <row r="53" spans="1:24" x14ac:dyDescent="0.35">
      <c r="A53" s="61" t="s">
        <v>88</v>
      </c>
      <c r="C53" s="130">
        <v>6082720</v>
      </c>
      <c r="D53" s="130">
        <v>0</v>
      </c>
      <c r="E53" s="130">
        <v>0</v>
      </c>
      <c r="F53" s="131">
        <f t="shared" si="0"/>
        <v>6082720</v>
      </c>
      <c r="H53" s="132">
        <f t="shared" si="1"/>
        <v>6082720</v>
      </c>
      <c r="I53" s="133">
        <f>MacroInformation!$D$29</f>
        <v>2.7099999999999999E-2</v>
      </c>
      <c r="J53" s="132">
        <f t="shared" si="2"/>
        <v>0</v>
      </c>
      <c r="K53" s="132">
        <f t="shared" si="3"/>
        <v>164841.712</v>
      </c>
      <c r="L53" s="131">
        <f t="shared" si="4"/>
        <v>6247561.7390999999</v>
      </c>
      <c r="N53" s="132">
        <f t="shared" si="5"/>
        <v>6247561.7390999999</v>
      </c>
      <c r="O53" s="133">
        <f>MacroInformation!$D$30</f>
        <v>2.5700000000000001E-2</v>
      </c>
      <c r="P53" s="132">
        <f t="shared" si="6"/>
        <v>0</v>
      </c>
      <c r="Q53" s="132">
        <f t="shared" si="7"/>
        <v>160562.33669487</v>
      </c>
      <c r="R53" s="131">
        <f t="shared" si="8"/>
        <v>6408124.1014948701</v>
      </c>
      <c r="T53" s="132">
        <f t="shared" si="9"/>
        <v>6408124.1014948701</v>
      </c>
      <c r="U53" s="133">
        <f>MacroInformation!$D$31</f>
        <v>2.6700000000000002E-2</v>
      </c>
      <c r="V53" s="132">
        <v>0</v>
      </c>
      <c r="W53" s="132">
        <f t="shared" si="10"/>
        <v>171096.91350991305</v>
      </c>
      <c r="X53" s="131">
        <f t="shared" si="11"/>
        <v>6579221.0417047832</v>
      </c>
    </row>
    <row r="54" spans="1:24" x14ac:dyDescent="0.35">
      <c r="A54" s="61" t="s">
        <v>89</v>
      </c>
      <c r="C54" s="130">
        <v>7299260</v>
      </c>
      <c r="D54" s="130">
        <v>0</v>
      </c>
      <c r="E54" s="130">
        <v>0</v>
      </c>
      <c r="F54" s="131">
        <f t="shared" si="0"/>
        <v>7299260</v>
      </c>
      <c r="H54" s="132">
        <f t="shared" si="1"/>
        <v>7299260</v>
      </c>
      <c r="I54" s="133">
        <f>MacroInformation!$D$29</f>
        <v>2.7099999999999999E-2</v>
      </c>
      <c r="J54" s="132">
        <f t="shared" si="2"/>
        <v>0</v>
      </c>
      <c r="K54" s="132">
        <f t="shared" si="3"/>
        <v>197809.946</v>
      </c>
      <c r="L54" s="131">
        <f t="shared" si="4"/>
        <v>7497069.9730999991</v>
      </c>
      <c r="N54" s="132">
        <f t="shared" si="5"/>
        <v>7497069.9730999991</v>
      </c>
      <c r="O54" s="133">
        <f>MacroInformation!$D$30</f>
        <v>2.5700000000000001E-2</v>
      </c>
      <c r="P54" s="132">
        <f t="shared" si="6"/>
        <v>0</v>
      </c>
      <c r="Q54" s="132">
        <f t="shared" si="7"/>
        <v>192674.69830866999</v>
      </c>
      <c r="R54" s="131">
        <f t="shared" si="8"/>
        <v>7689744.6971086692</v>
      </c>
      <c r="T54" s="132">
        <f t="shared" si="9"/>
        <v>7689744.6971086692</v>
      </c>
      <c r="U54" s="133">
        <f>MacroInformation!$D$31</f>
        <v>2.6700000000000002E-2</v>
      </c>
      <c r="V54" s="132">
        <v>0</v>
      </c>
      <c r="W54" s="132">
        <f t="shared" si="10"/>
        <v>205316.18341280147</v>
      </c>
      <c r="X54" s="131">
        <f t="shared" si="11"/>
        <v>7895060.907221471</v>
      </c>
    </row>
    <row r="55" spans="1:24" x14ac:dyDescent="0.35">
      <c r="A55" s="61" t="s">
        <v>90</v>
      </c>
      <c r="C55" s="130">
        <v>4866174</v>
      </c>
      <c r="D55" s="130">
        <v>0</v>
      </c>
      <c r="E55" s="130">
        <v>0</v>
      </c>
      <c r="F55" s="131">
        <f t="shared" si="0"/>
        <v>4866174</v>
      </c>
      <c r="H55" s="132">
        <f t="shared" si="1"/>
        <v>4866174</v>
      </c>
      <c r="I55" s="133">
        <f>MacroInformation!$D$29</f>
        <v>2.7099999999999999E-2</v>
      </c>
      <c r="J55" s="132">
        <f t="shared" si="2"/>
        <v>0</v>
      </c>
      <c r="K55" s="132">
        <f t="shared" si="3"/>
        <v>131873.31539999999</v>
      </c>
      <c r="L55" s="131">
        <f t="shared" si="4"/>
        <v>4998047.3424999993</v>
      </c>
      <c r="N55" s="132">
        <f t="shared" si="5"/>
        <v>4998047.3424999993</v>
      </c>
      <c r="O55" s="133">
        <f>MacroInformation!$D$30</f>
        <v>2.5700000000000001E-2</v>
      </c>
      <c r="P55" s="132">
        <f t="shared" si="6"/>
        <v>0</v>
      </c>
      <c r="Q55" s="132">
        <f t="shared" si="7"/>
        <v>128449.81670224998</v>
      </c>
      <c r="R55" s="131">
        <f t="shared" si="8"/>
        <v>5126497.1849022498</v>
      </c>
      <c r="T55" s="132">
        <f t="shared" si="9"/>
        <v>5126497.1849022498</v>
      </c>
      <c r="U55" s="133">
        <f>MacroInformation!$D$31</f>
        <v>2.6700000000000002E-2</v>
      </c>
      <c r="V55" s="132">
        <v>0</v>
      </c>
      <c r="W55" s="132">
        <f t="shared" si="10"/>
        <v>136877.47483689009</v>
      </c>
      <c r="X55" s="131">
        <f t="shared" si="11"/>
        <v>5263374.6864391398</v>
      </c>
    </row>
    <row r="56" spans="1:24" x14ac:dyDescent="0.35">
      <c r="A56" s="61" t="s">
        <v>91</v>
      </c>
      <c r="C56" s="130">
        <v>10948890</v>
      </c>
      <c r="D56" s="130">
        <v>0</v>
      </c>
      <c r="E56" s="130">
        <v>0</v>
      </c>
      <c r="F56" s="131">
        <f t="shared" si="0"/>
        <v>10948890</v>
      </c>
      <c r="H56" s="132">
        <f t="shared" si="1"/>
        <v>10948890</v>
      </c>
      <c r="I56" s="133">
        <f>MacroInformation!$D$29</f>
        <v>2.7099999999999999E-2</v>
      </c>
      <c r="J56" s="132">
        <f t="shared" si="2"/>
        <v>0</v>
      </c>
      <c r="K56" s="132">
        <f t="shared" si="3"/>
        <v>296714.91899999999</v>
      </c>
      <c r="L56" s="131">
        <f t="shared" si="4"/>
        <v>11245604.9461</v>
      </c>
      <c r="N56" s="132">
        <f t="shared" si="5"/>
        <v>11245604.9461</v>
      </c>
      <c r="O56" s="133">
        <f>MacroInformation!$D$30</f>
        <v>2.5700000000000001E-2</v>
      </c>
      <c r="P56" s="132">
        <f t="shared" si="6"/>
        <v>0</v>
      </c>
      <c r="Q56" s="132">
        <f t="shared" si="7"/>
        <v>289012.04711476999</v>
      </c>
      <c r="R56" s="131">
        <f t="shared" si="8"/>
        <v>11534617.01891477</v>
      </c>
      <c r="T56" s="132">
        <f t="shared" si="9"/>
        <v>11534617.01891477</v>
      </c>
      <c r="U56" s="133">
        <f>MacroInformation!$D$31</f>
        <v>2.6700000000000002E-2</v>
      </c>
      <c r="V56" s="132">
        <v>0</v>
      </c>
      <c r="W56" s="132">
        <f t="shared" si="10"/>
        <v>307974.27440502436</v>
      </c>
      <c r="X56" s="131">
        <f t="shared" si="11"/>
        <v>11842591.320019795</v>
      </c>
    </row>
    <row r="57" spans="1:24" x14ac:dyDescent="0.35">
      <c r="A57" s="61" t="s">
        <v>92</v>
      </c>
      <c r="C57" s="130">
        <v>6995127</v>
      </c>
      <c r="D57" s="130">
        <v>0</v>
      </c>
      <c r="E57" s="130">
        <v>0</v>
      </c>
      <c r="F57" s="131">
        <f t="shared" si="0"/>
        <v>6995127</v>
      </c>
      <c r="H57" s="132">
        <f t="shared" si="1"/>
        <v>6995127</v>
      </c>
      <c r="I57" s="133">
        <f>MacroInformation!$D$29</f>
        <v>2.7099999999999999E-2</v>
      </c>
      <c r="J57" s="132">
        <f t="shared" si="2"/>
        <v>0</v>
      </c>
      <c r="K57" s="132">
        <f t="shared" si="3"/>
        <v>189567.9417</v>
      </c>
      <c r="L57" s="131">
        <f t="shared" si="4"/>
        <v>7184694.9687999999</v>
      </c>
      <c r="N57" s="132">
        <f t="shared" si="5"/>
        <v>7184694.9687999999</v>
      </c>
      <c r="O57" s="133">
        <f>MacroInformation!$D$30</f>
        <v>2.5700000000000001E-2</v>
      </c>
      <c r="P57" s="132">
        <f t="shared" si="6"/>
        <v>0</v>
      </c>
      <c r="Q57" s="132">
        <f t="shared" si="7"/>
        <v>184646.66069816001</v>
      </c>
      <c r="R57" s="131">
        <f t="shared" si="8"/>
        <v>7369341.6551981596</v>
      </c>
      <c r="T57" s="132">
        <f t="shared" si="9"/>
        <v>7369341.6551981596</v>
      </c>
      <c r="U57" s="133">
        <f>MacroInformation!$D$31</f>
        <v>2.6700000000000002E-2</v>
      </c>
      <c r="V57" s="132">
        <v>0</v>
      </c>
      <c r="W57" s="132">
        <f t="shared" si="10"/>
        <v>196761.42219379087</v>
      </c>
      <c r="X57" s="131">
        <f t="shared" si="11"/>
        <v>7566103.1040919507</v>
      </c>
    </row>
    <row r="58" spans="1:24" x14ac:dyDescent="0.35">
      <c r="A58" s="61" t="s">
        <v>93</v>
      </c>
      <c r="C58" s="130">
        <v>6082720</v>
      </c>
      <c r="D58" s="130">
        <v>0</v>
      </c>
      <c r="E58" s="130">
        <v>0</v>
      </c>
      <c r="F58" s="131">
        <f t="shared" si="0"/>
        <v>6082720</v>
      </c>
      <c r="H58" s="132">
        <f t="shared" si="1"/>
        <v>6082720</v>
      </c>
      <c r="I58" s="133">
        <f>MacroInformation!$D$29</f>
        <v>2.7099999999999999E-2</v>
      </c>
      <c r="J58" s="132">
        <f t="shared" si="2"/>
        <v>0</v>
      </c>
      <c r="K58" s="132">
        <f t="shared" si="3"/>
        <v>164841.712</v>
      </c>
      <c r="L58" s="131">
        <f t="shared" si="4"/>
        <v>6247561.7390999999</v>
      </c>
      <c r="N58" s="132">
        <f t="shared" si="5"/>
        <v>6247561.7390999999</v>
      </c>
      <c r="O58" s="133">
        <f>MacroInformation!$D$30</f>
        <v>2.5700000000000001E-2</v>
      </c>
      <c r="P58" s="132">
        <f t="shared" si="6"/>
        <v>0</v>
      </c>
      <c r="Q58" s="132">
        <f t="shared" si="7"/>
        <v>160562.33669487</v>
      </c>
      <c r="R58" s="131">
        <f t="shared" si="8"/>
        <v>6408124.1014948701</v>
      </c>
      <c r="T58" s="132">
        <f t="shared" si="9"/>
        <v>6408124.1014948701</v>
      </c>
      <c r="U58" s="133">
        <f>MacroInformation!$D$31</f>
        <v>2.6700000000000002E-2</v>
      </c>
      <c r="V58" s="132">
        <v>0</v>
      </c>
      <c r="W58" s="132">
        <f t="shared" si="10"/>
        <v>171096.91350991305</v>
      </c>
      <c r="X58" s="131">
        <f t="shared" si="11"/>
        <v>6579221.0417047832</v>
      </c>
    </row>
    <row r="59" spans="1:24" x14ac:dyDescent="0.35">
      <c r="A59" s="61" t="s">
        <v>94</v>
      </c>
      <c r="C59" s="130">
        <v>7299264</v>
      </c>
      <c r="D59" s="130">
        <v>0</v>
      </c>
      <c r="E59" s="130">
        <v>0</v>
      </c>
      <c r="F59" s="131">
        <f t="shared" si="0"/>
        <v>7299264</v>
      </c>
      <c r="H59" s="132">
        <f t="shared" si="1"/>
        <v>7299264</v>
      </c>
      <c r="I59" s="133">
        <f>MacroInformation!$D$29</f>
        <v>2.7099999999999999E-2</v>
      </c>
      <c r="J59" s="132">
        <f t="shared" si="2"/>
        <v>0</v>
      </c>
      <c r="K59" s="132">
        <f t="shared" si="3"/>
        <v>197810.05439999999</v>
      </c>
      <c r="L59" s="131">
        <f t="shared" si="4"/>
        <v>7497074.0814999994</v>
      </c>
      <c r="N59" s="132">
        <f t="shared" si="5"/>
        <v>7497074.0814999994</v>
      </c>
      <c r="O59" s="133">
        <f>MacroInformation!$D$30</f>
        <v>2.5700000000000001E-2</v>
      </c>
      <c r="P59" s="132">
        <f t="shared" si="6"/>
        <v>0</v>
      </c>
      <c r="Q59" s="132">
        <f t="shared" si="7"/>
        <v>192674.80389454999</v>
      </c>
      <c r="R59" s="131">
        <f t="shared" si="8"/>
        <v>7689748.9110945491</v>
      </c>
      <c r="T59" s="132">
        <f t="shared" si="9"/>
        <v>7689748.9110945491</v>
      </c>
      <c r="U59" s="133">
        <f>MacroInformation!$D$31</f>
        <v>2.6700000000000002E-2</v>
      </c>
      <c r="V59" s="132">
        <v>0</v>
      </c>
      <c r="W59" s="132">
        <f t="shared" si="10"/>
        <v>205316.29592622447</v>
      </c>
      <c r="X59" s="131">
        <f t="shared" si="11"/>
        <v>7895065.2337207738</v>
      </c>
    </row>
    <row r="60" spans="1:24" x14ac:dyDescent="0.35">
      <c r="A60" s="61" t="s">
        <v>95</v>
      </c>
      <c r="C60" s="130">
        <v>7299264</v>
      </c>
      <c r="D60" s="130">
        <v>0</v>
      </c>
      <c r="E60" s="130">
        <v>0</v>
      </c>
      <c r="F60" s="131">
        <f t="shared" si="0"/>
        <v>7299264</v>
      </c>
      <c r="H60" s="132">
        <f t="shared" si="1"/>
        <v>7299264</v>
      </c>
      <c r="I60" s="133">
        <f>MacroInformation!$D$29</f>
        <v>2.7099999999999999E-2</v>
      </c>
      <c r="J60" s="132">
        <f t="shared" si="2"/>
        <v>0</v>
      </c>
      <c r="K60" s="132">
        <f t="shared" si="3"/>
        <v>197810.05439999999</v>
      </c>
      <c r="L60" s="131">
        <f t="shared" si="4"/>
        <v>7497074.0814999994</v>
      </c>
      <c r="N60" s="132">
        <f t="shared" si="5"/>
        <v>7497074.0814999994</v>
      </c>
      <c r="O60" s="133">
        <f>MacroInformation!$D$30</f>
        <v>2.5700000000000001E-2</v>
      </c>
      <c r="P60" s="132">
        <f t="shared" si="6"/>
        <v>0</v>
      </c>
      <c r="Q60" s="132">
        <f t="shared" si="7"/>
        <v>192674.80389454999</v>
      </c>
      <c r="R60" s="131">
        <f t="shared" si="8"/>
        <v>7689748.9110945491</v>
      </c>
      <c r="T60" s="132">
        <f t="shared" si="9"/>
        <v>7689748.9110945491</v>
      </c>
      <c r="U60" s="133">
        <f>MacroInformation!$D$31</f>
        <v>2.6700000000000002E-2</v>
      </c>
      <c r="V60" s="132">
        <v>0</v>
      </c>
      <c r="W60" s="132">
        <f t="shared" si="10"/>
        <v>205316.29592622447</v>
      </c>
      <c r="X60" s="131">
        <f t="shared" si="11"/>
        <v>7895065.2337207738</v>
      </c>
    </row>
    <row r="61" spans="1:24" x14ac:dyDescent="0.35">
      <c r="A61" s="61" t="s">
        <v>96</v>
      </c>
      <c r="C61" s="130">
        <v>3649630</v>
      </c>
      <c r="D61" s="130">
        <v>0</v>
      </c>
      <c r="E61" s="130">
        <v>0</v>
      </c>
      <c r="F61" s="131">
        <f t="shared" si="0"/>
        <v>3649630</v>
      </c>
      <c r="H61" s="132">
        <f t="shared" si="1"/>
        <v>3649630</v>
      </c>
      <c r="I61" s="133">
        <f>MacroInformation!$D$29</f>
        <v>2.7099999999999999E-2</v>
      </c>
      <c r="J61" s="132">
        <f t="shared" si="2"/>
        <v>0</v>
      </c>
      <c r="K61" s="132">
        <f t="shared" si="3"/>
        <v>98904.972999999998</v>
      </c>
      <c r="L61" s="131">
        <f t="shared" si="4"/>
        <v>3748535.0000999998</v>
      </c>
      <c r="N61" s="132">
        <f t="shared" si="5"/>
        <v>3748535.0000999998</v>
      </c>
      <c r="O61" s="133">
        <f>MacroInformation!$D$30</f>
        <v>2.5700000000000001E-2</v>
      </c>
      <c r="P61" s="132">
        <f t="shared" si="6"/>
        <v>0</v>
      </c>
      <c r="Q61" s="132">
        <f t="shared" si="7"/>
        <v>96337.349502569996</v>
      </c>
      <c r="R61" s="131">
        <f t="shared" si="8"/>
        <v>3844872.3753025699</v>
      </c>
      <c r="T61" s="132">
        <f t="shared" si="9"/>
        <v>3844872.3753025699</v>
      </c>
      <c r="U61" s="133">
        <f>MacroInformation!$D$31</f>
        <v>2.6700000000000002E-2</v>
      </c>
      <c r="V61" s="132">
        <v>0</v>
      </c>
      <c r="W61" s="132">
        <f t="shared" si="10"/>
        <v>102658.09242057863</v>
      </c>
      <c r="X61" s="131">
        <f t="shared" si="11"/>
        <v>3947530.4944231482</v>
      </c>
    </row>
    <row r="62" spans="1:24" x14ac:dyDescent="0.35">
      <c r="A62" s="61" t="s">
        <v>97</v>
      </c>
      <c r="C62" s="130">
        <v>6234788</v>
      </c>
      <c r="D62" s="130">
        <v>0</v>
      </c>
      <c r="E62" s="130">
        <v>0</v>
      </c>
      <c r="F62" s="131">
        <f t="shared" si="0"/>
        <v>6234788</v>
      </c>
      <c r="H62" s="132">
        <f t="shared" si="1"/>
        <v>6234788</v>
      </c>
      <c r="I62" s="133">
        <f>MacroInformation!$D$29</f>
        <v>2.7099999999999999E-2</v>
      </c>
      <c r="J62" s="132">
        <f t="shared" si="2"/>
        <v>0</v>
      </c>
      <c r="K62" s="132">
        <f t="shared" si="3"/>
        <v>168962.7548</v>
      </c>
      <c r="L62" s="131">
        <f t="shared" si="4"/>
        <v>6403750.7818999998</v>
      </c>
      <c r="N62" s="132">
        <f t="shared" si="5"/>
        <v>6403750.7818999998</v>
      </c>
      <c r="O62" s="133">
        <f>MacroInformation!$D$30</f>
        <v>2.5700000000000001E-2</v>
      </c>
      <c r="P62" s="132">
        <f t="shared" si="6"/>
        <v>0</v>
      </c>
      <c r="Q62" s="132">
        <f t="shared" si="7"/>
        <v>164576.39509482999</v>
      </c>
      <c r="R62" s="131">
        <f t="shared" si="8"/>
        <v>6568327.2026948296</v>
      </c>
      <c r="T62" s="132">
        <f t="shared" si="9"/>
        <v>6568327.2026948296</v>
      </c>
      <c r="U62" s="133">
        <f>MacroInformation!$D$31</f>
        <v>2.6700000000000002E-2</v>
      </c>
      <c r="V62" s="132">
        <v>0</v>
      </c>
      <c r="W62" s="132">
        <f t="shared" si="10"/>
        <v>175374.33631195195</v>
      </c>
      <c r="X62" s="131">
        <f t="shared" si="11"/>
        <v>6743701.565706782</v>
      </c>
    </row>
    <row r="63" spans="1:24" x14ac:dyDescent="0.35">
      <c r="A63" s="61" t="s">
        <v>98</v>
      </c>
      <c r="C63" s="130">
        <v>4810437</v>
      </c>
      <c r="D63" s="130">
        <v>0</v>
      </c>
      <c r="E63" s="130">
        <v>0</v>
      </c>
      <c r="F63" s="131">
        <f t="shared" si="0"/>
        <v>4810437</v>
      </c>
      <c r="H63" s="132">
        <f t="shared" si="1"/>
        <v>4810437</v>
      </c>
      <c r="I63" s="133">
        <f>MacroInformation!$D$29</f>
        <v>2.7099999999999999E-2</v>
      </c>
      <c r="J63" s="132">
        <f t="shared" si="2"/>
        <v>0</v>
      </c>
      <c r="K63" s="132">
        <f t="shared" si="3"/>
        <v>130362.84269999999</v>
      </c>
      <c r="L63" s="131">
        <f t="shared" si="4"/>
        <v>4940799.8697999995</v>
      </c>
      <c r="N63" s="132">
        <f t="shared" si="5"/>
        <v>4940799.8697999995</v>
      </c>
      <c r="O63" s="133">
        <f>MacroInformation!$D$30</f>
        <v>2.5700000000000001E-2</v>
      </c>
      <c r="P63" s="132">
        <f t="shared" si="6"/>
        <v>0</v>
      </c>
      <c r="Q63" s="132">
        <f t="shared" si="7"/>
        <v>126978.55665386</v>
      </c>
      <c r="R63" s="131">
        <f t="shared" si="8"/>
        <v>5067778.4521538597</v>
      </c>
      <c r="T63" s="132">
        <f t="shared" si="9"/>
        <v>5067778.4521538597</v>
      </c>
      <c r="U63" s="133">
        <f>MacroInformation!$D$31</f>
        <v>2.6700000000000002E-2</v>
      </c>
      <c r="V63" s="132">
        <v>0</v>
      </c>
      <c r="W63" s="132">
        <f t="shared" si="10"/>
        <v>135309.68467250807</v>
      </c>
      <c r="X63" s="131">
        <f t="shared" si="11"/>
        <v>5203088.1635263683</v>
      </c>
    </row>
    <row r="64" spans="1:24" x14ac:dyDescent="0.35">
      <c r="A64" s="61" t="s">
        <v>99</v>
      </c>
      <c r="C64" s="130">
        <v>6082718</v>
      </c>
      <c r="D64" s="130">
        <v>0</v>
      </c>
      <c r="E64" s="130">
        <v>0</v>
      </c>
      <c r="F64" s="131">
        <f t="shared" si="0"/>
        <v>6082718</v>
      </c>
      <c r="H64" s="132">
        <f t="shared" si="1"/>
        <v>6082718</v>
      </c>
      <c r="I64" s="133">
        <f>MacroInformation!$D$29</f>
        <v>2.7099999999999999E-2</v>
      </c>
      <c r="J64" s="132">
        <f t="shared" si="2"/>
        <v>0</v>
      </c>
      <c r="K64" s="132">
        <f t="shared" si="3"/>
        <v>164841.65779999999</v>
      </c>
      <c r="L64" s="131">
        <f t="shared" si="4"/>
        <v>6247559.6848999998</v>
      </c>
      <c r="N64" s="132">
        <f t="shared" si="5"/>
        <v>6247559.6848999998</v>
      </c>
      <c r="O64" s="133">
        <f>MacroInformation!$D$30</f>
        <v>2.5700000000000001E-2</v>
      </c>
      <c r="P64" s="132">
        <f t="shared" si="6"/>
        <v>0</v>
      </c>
      <c r="Q64" s="132">
        <f t="shared" si="7"/>
        <v>160562.28390193</v>
      </c>
      <c r="R64" s="131">
        <f t="shared" si="8"/>
        <v>6408121.9945019297</v>
      </c>
      <c r="T64" s="132">
        <f t="shared" si="9"/>
        <v>6408121.9945019297</v>
      </c>
      <c r="U64" s="133">
        <f>MacroInformation!$D$31</f>
        <v>2.6700000000000002E-2</v>
      </c>
      <c r="V64" s="132">
        <v>0</v>
      </c>
      <c r="W64" s="132">
        <f t="shared" si="10"/>
        <v>171096.85725320154</v>
      </c>
      <c r="X64" s="131">
        <f t="shared" si="11"/>
        <v>6579218.8784551313</v>
      </c>
    </row>
    <row r="65" spans="1:24" x14ac:dyDescent="0.35">
      <c r="A65" s="61" t="s">
        <v>100</v>
      </c>
      <c r="C65" s="130">
        <v>8819944</v>
      </c>
      <c r="D65" s="130">
        <v>0</v>
      </c>
      <c r="E65" s="130">
        <v>0</v>
      </c>
      <c r="F65" s="131">
        <f t="shared" si="0"/>
        <v>8819944</v>
      </c>
      <c r="H65" s="132">
        <f t="shared" si="1"/>
        <v>8819944</v>
      </c>
      <c r="I65" s="133">
        <f>MacroInformation!$D$29</f>
        <v>2.7099999999999999E-2</v>
      </c>
      <c r="J65" s="132">
        <f t="shared" si="2"/>
        <v>0</v>
      </c>
      <c r="K65" s="132">
        <f t="shared" si="3"/>
        <v>239020.48239999998</v>
      </c>
      <c r="L65" s="131">
        <f t="shared" si="4"/>
        <v>9058964.5095000006</v>
      </c>
      <c r="N65" s="132">
        <f t="shared" si="5"/>
        <v>9058964.5095000006</v>
      </c>
      <c r="O65" s="133">
        <f>MacroInformation!$D$30</f>
        <v>2.5700000000000001E-2</v>
      </c>
      <c r="P65" s="132">
        <f t="shared" si="6"/>
        <v>0</v>
      </c>
      <c r="Q65" s="132">
        <f t="shared" si="7"/>
        <v>232815.38789415002</v>
      </c>
      <c r="R65" s="131">
        <f t="shared" si="8"/>
        <v>9291779.9230941497</v>
      </c>
      <c r="T65" s="132">
        <f t="shared" si="9"/>
        <v>9291779.9230941497</v>
      </c>
      <c r="U65" s="133">
        <f>MacroInformation!$D$31</f>
        <v>2.6700000000000002E-2</v>
      </c>
      <c r="V65" s="132">
        <v>0</v>
      </c>
      <c r="W65" s="132">
        <f t="shared" si="10"/>
        <v>248090.5239466138</v>
      </c>
      <c r="X65" s="131">
        <f t="shared" si="11"/>
        <v>9539870.4737407621</v>
      </c>
    </row>
    <row r="66" spans="1:24" x14ac:dyDescent="0.35">
      <c r="A66" s="61" t="s">
        <v>101</v>
      </c>
      <c r="C66" s="130">
        <v>8515808</v>
      </c>
      <c r="D66" s="130">
        <v>0</v>
      </c>
      <c r="E66" s="130">
        <v>0</v>
      </c>
      <c r="F66" s="131">
        <f t="shared" si="0"/>
        <v>8515808</v>
      </c>
      <c r="H66" s="132">
        <f t="shared" si="1"/>
        <v>8515808</v>
      </c>
      <c r="I66" s="133">
        <f>MacroInformation!$D$29</f>
        <v>2.7099999999999999E-2</v>
      </c>
      <c r="J66" s="132">
        <f t="shared" si="2"/>
        <v>0</v>
      </c>
      <c r="K66" s="132">
        <f t="shared" si="3"/>
        <v>230778.39679999999</v>
      </c>
      <c r="L66" s="131">
        <f t="shared" si="4"/>
        <v>8746586.4239000008</v>
      </c>
      <c r="N66" s="132">
        <f t="shared" si="5"/>
        <v>8746586.4239000008</v>
      </c>
      <c r="O66" s="133">
        <f>MacroInformation!$D$30</f>
        <v>2.5700000000000001E-2</v>
      </c>
      <c r="P66" s="132">
        <f t="shared" si="6"/>
        <v>0</v>
      </c>
      <c r="Q66" s="132">
        <f t="shared" si="7"/>
        <v>224787.27109423003</v>
      </c>
      <c r="R66" s="131">
        <f t="shared" si="8"/>
        <v>8971373.7206942309</v>
      </c>
      <c r="T66" s="132">
        <f t="shared" si="9"/>
        <v>8971373.7206942309</v>
      </c>
      <c r="U66" s="133">
        <f>MacroInformation!$D$31</f>
        <v>2.6700000000000002E-2</v>
      </c>
      <c r="V66" s="132">
        <v>0</v>
      </c>
      <c r="W66" s="132">
        <f t="shared" si="10"/>
        <v>239535.67834253598</v>
      </c>
      <c r="X66" s="131">
        <f t="shared" si="11"/>
        <v>9210909.4257367663</v>
      </c>
    </row>
    <row r="67" spans="1:24" x14ac:dyDescent="0.35">
      <c r="A67" s="61" t="s">
        <v>102</v>
      </c>
      <c r="C67" s="130">
        <v>8515808</v>
      </c>
      <c r="D67" s="130">
        <v>0</v>
      </c>
      <c r="E67" s="130">
        <v>0</v>
      </c>
      <c r="F67" s="131">
        <f t="shared" si="0"/>
        <v>8515808</v>
      </c>
      <c r="H67" s="132">
        <f t="shared" si="1"/>
        <v>8515808</v>
      </c>
      <c r="I67" s="133">
        <f>MacroInformation!$D$29</f>
        <v>2.7099999999999999E-2</v>
      </c>
      <c r="J67" s="132">
        <f t="shared" si="2"/>
        <v>0</v>
      </c>
      <c r="K67" s="132">
        <f t="shared" si="3"/>
        <v>230778.39679999999</v>
      </c>
      <c r="L67" s="131">
        <f t="shared" si="4"/>
        <v>8746586.4239000008</v>
      </c>
      <c r="N67" s="132">
        <f t="shared" si="5"/>
        <v>8746586.4239000008</v>
      </c>
      <c r="O67" s="133">
        <f>MacroInformation!$D$30</f>
        <v>2.5700000000000001E-2</v>
      </c>
      <c r="P67" s="132">
        <f t="shared" si="6"/>
        <v>0</v>
      </c>
      <c r="Q67" s="132">
        <f t="shared" si="7"/>
        <v>224787.27109423003</v>
      </c>
      <c r="R67" s="131">
        <f t="shared" si="8"/>
        <v>8971373.7206942309</v>
      </c>
      <c r="T67" s="132">
        <f t="shared" si="9"/>
        <v>8971373.7206942309</v>
      </c>
      <c r="U67" s="133">
        <f>MacroInformation!$D$31</f>
        <v>2.6700000000000002E-2</v>
      </c>
      <c r="V67" s="132">
        <v>0</v>
      </c>
      <c r="W67" s="132">
        <f t="shared" si="10"/>
        <v>239535.67834253598</v>
      </c>
      <c r="X67" s="131">
        <f t="shared" si="11"/>
        <v>9210909.4257367663</v>
      </c>
    </row>
    <row r="68" spans="1:24" x14ac:dyDescent="0.35">
      <c r="A68" s="61" t="s">
        <v>103</v>
      </c>
      <c r="C68" s="130">
        <v>13990252</v>
      </c>
      <c r="D68" s="130">
        <v>0</v>
      </c>
      <c r="E68" s="130">
        <v>0</v>
      </c>
      <c r="F68" s="131">
        <f t="shared" si="0"/>
        <v>13990252</v>
      </c>
      <c r="H68" s="132">
        <f t="shared" si="1"/>
        <v>13990252</v>
      </c>
      <c r="I68" s="133">
        <f>MacroInformation!$D$29</f>
        <v>2.7099999999999999E-2</v>
      </c>
      <c r="J68" s="132">
        <f t="shared" si="2"/>
        <v>0</v>
      </c>
      <c r="K68" s="132">
        <f t="shared" si="3"/>
        <v>379135.82919999998</v>
      </c>
      <c r="L68" s="131">
        <f t="shared" si="4"/>
        <v>14369387.8563</v>
      </c>
      <c r="N68" s="132">
        <f t="shared" si="5"/>
        <v>14369387.8563</v>
      </c>
      <c r="O68" s="133">
        <f>MacroInformation!$D$30</f>
        <v>2.5700000000000001E-2</v>
      </c>
      <c r="P68" s="132">
        <f t="shared" si="6"/>
        <v>0</v>
      </c>
      <c r="Q68" s="132">
        <f t="shared" si="7"/>
        <v>369293.26790690998</v>
      </c>
      <c r="R68" s="131">
        <f t="shared" si="8"/>
        <v>14738681.149906909</v>
      </c>
      <c r="T68" s="132">
        <f t="shared" si="9"/>
        <v>14738681.149906909</v>
      </c>
      <c r="U68" s="133">
        <f>MacroInformation!$D$31</f>
        <v>2.6700000000000002E-2</v>
      </c>
      <c r="V68" s="132">
        <v>0</v>
      </c>
      <c r="W68" s="132">
        <f t="shared" si="10"/>
        <v>393522.78670251451</v>
      </c>
      <c r="X68" s="131">
        <f t="shared" si="11"/>
        <v>15132203.963309422</v>
      </c>
    </row>
    <row r="69" spans="1:24" x14ac:dyDescent="0.35">
      <c r="A69" s="61" t="s">
        <v>104</v>
      </c>
      <c r="C69" s="130">
        <v>12165438</v>
      </c>
      <c r="D69" s="130">
        <v>0</v>
      </c>
      <c r="E69" s="130">
        <v>0</v>
      </c>
      <c r="F69" s="131">
        <f t="shared" ref="F69:F75" si="12">SUM(C69:E69)</f>
        <v>12165438</v>
      </c>
      <c r="H69" s="132">
        <f t="shared" ref="H69:H75" si="13">+F69</f>
        <v>12165438</v>
      </c>
      <c r="I69" s="133">
        <f>MacroInformation!$D$29</f>
        <v>2.7099999999999999E-2</v>
      </c>
      <c r="J69" s="132">
        <f t="shared" ref="J69:J75" si="14">+D69</f>
        <v>0</v>
      </c>
      <c r="K69" s="132">
        <f t="shared" ref="K69:K75" si="15">+H69*I69</f>
        <v>329683.36979999999</v>
      </c>
      <c r="L69" s="131">
        <f t="shared" ref="L69:L75" si="16">SUM(H69:K69)</f>
        <v>12495121.3969</v>
      </c>
      <c r="N69" s="132">
        <f t="shared" ref="N69:N75" si="17">+L69</f>
        <v>12495121.3969</v>
      </c>
      <c r="O69" s="133">
        <f>MacroInformation!$D$30</f>
        <v>2.5700000000000001E-2</v>
      </c>
      <c r="P69" s="132">
        <f t="shared" ref="P69:P75" si="18">+J69</f>
        <v>0</v>
      </c>
      <c r="Q69" s="132">
        <f t="shared" ref="Q69:Q75" si="19">+N69*O69</f>
        <v>321124.61990033003</v>
      </c>
      <c r="R69" s="131">
        <f t="shared" ref="R69:R75" si="20">SUM(N69:Q69)</f>
        <v>12816246.04250033</v>
      </c>
      <c r="T69" s="132">
        <f t="shared" ref="T69:T75" si="21">+R69</f>
        <v>12816246.04250033</v>
      </c>
      <c r="U69" s="133">
        <f>MacroInformation!$D$31</f>
        <v>2.6700000000000002E-2</v>
      </c>
      <c r="V69" s="132">
        <v>0</v>
      </c>
      <c r="W69" s="132">
        <f t="shared" ref="W69:W75" si="22">+T69*U69</f>
        <v>342193.76933475881</v>
      </c>
      <c r="X69" s="131">
        <f t="shared" ref="X69:X75" si="23">SUM(T69:W69)</f>
        <v>13158439.838535089</v>
      </c>
    </row>
    <row r="70" spans="1:24" x14ac:dyDescent="0.35">
      <c r="A70" s="61" t="s">
        <v>105</v>
      </c>
      <c r="C70" s="130">
        <v>4866176</v>
      </c>
      <c r="D70" s="130">
        <v>0</v>
      </c>
      <c r="E70" s="130">
        <v>0</v>
      </c>
      <c r="F70" s="131">
        <f t="shared" si="12"/>
        <v>4866176</v>
      </c>
      <c r="H70" s="132">
        <f t="shared" si="13"/>
        <v>4866176</v>
      </c>
      <c r="I70" s="133">
        <f>MacroInformation!$D$29</f>
        <v>2.7099999999999999E-2</v>
      </c>
      <c r="J70" s="132">
        <f t="shared" si="14"/>
        <v>0</v>
      </c>
      <c r="K70" s="132">
        <f t="shared" si="15"/>
        <v>131873.36960000001</v>
      </c>
      <c r="L70" s="131">
        <f t="shared" si="16"/>
        <v>4998049.3966999995</v>
      </c>
      <c r="N70" s="132">
        <f t="shared" si="17"/>
        <v>4998049.3966999995</v>
      </c>
      <c r="O70" s="133">
        <f>MacroInformation!$D$30</f>
        <v>2.5700000000000001E-2</v>
      </c>
      <c r="P70" s="132">
        <f t="shared" si="18"/>
        <v>0</v>
      </c>
      <c r="Q70" s="132">
        <f t="shared" si="19"/>
        <v>128449.86949519</v>
      </c>
      <c r="R70" s="131">
        <f t="shared" si="20"/>
        <v>5126499.2918951893</v>
      </c>
      <c r="T70" s="132">
        <f t="shared" si="21"/>
        <v>5126499.2918951893</v>
      </c>
      <c r="U70" s="133">
        <f>MacroInformation!$D$31</f>
        <v>2.6700000000000002E-2</v>
      </c>
      <c r="V70" s="132">
        <v>0</v>
      </c>
      <c r="W70" s="132">
        <f t="shared" si="22"/>
        <v>136877.53109360157</v>
      </c>
      <c r="X70" s="131">
        <f t="shared" si="23"/>
        <v>5263376.8496887907</v>
      </c>
    </row>
    <row r="71" spans="1:24" x14ac:dyDescent="0.35">
      <c r="A71" s="61" t="s">
        <v>106</v>
      </c>
      <c r="C71" s="130">
        <v>7603396</v>
      </c>
      <c r="D71" s="130">
        <v>0</v>
      </c>
      <c r="E71" s="130">
        <v>0</v>
      </c>
      <c r="F71" s="131">
        <f t="shared" si="12"/>
        <v>7603396</v>
      </c>
      <c r="H71" s="132">
        <f t="shared" si="13"/>
        <v>7603396</v>
      </c>
      <c r="I71" s="133">
        <f>MacroInformation!$D$29</f>
        <v>2.7099999999999999E-2</v>
      </c>
      <c r="J71" s="132">
        <f t="shared" si="14"/>
        <v>0</v>
      </c>
      <c r="K71" s="132">
        <f t="shared" si="15"/>
        <v>206052.03159999999</v>
      </c>
      <c r="L71" s="131">
        <f t="shared" si="16"/>
        <v>7809448.0586999999</v>
      </c>
      <c r="N71" s="132">
        <f t="shared" si="17"/>
        <v>7809448.0586999999</v>
      </c>
      <c r="O71" s="133">
        <f>MacroInformation!$D$30</f>
        <v>2.5700000000000001E-2</v>
      </c>
      <c r="P71" s="132">
        <f t="shared" si="18"/>
        <v>0</v>
      </c>
      <c r="Q71" s="132">
        <f t="shared" si="19"/>
        <v>200702.81510859</v>
      </c>
      <c r="R71" s="131">
        <f t="shared" si="20"/>
        <v>8010150.8995085899</v>
      </c>
      <c r="T71" s="132">
        <f t="shared" si="21"/>
        <v>8010150.8995085899</v>
      </c>
      <c r="U71" s="133">
        <f>MacroInformation!$D$31</f>
        <v>2.6700000000000002E-2</v>
      </c>
      <c r="V71" s="132">
        <v>0</v>
      </c>
      <c r="W71" s="132">
        <f t="shared" si="22"/>
        <v>213871.02901687936</v>
      </c>
      <c r="X71" s="131">
        <f t="shared" si="23"/>
        <v>8224021.9552254695</v>
      </c>
    </row>
    <row r="72" spans="1:24" x14ac:dyDescent="0.35">
      <c r="A72" s="61" t="s">
        <v>107</v>
      </c>
      <c r="C72" s="130">
        <v>4810437</v>
      </c>
      <c r="D72" s="130">
        <v>0</v>
      </c>
      <c r="E72" s="130">
        <v>0</v>
      </c>
      <c r="F72" s="131">
        <f t="shared" si="12"/>
        <v>4810437</v>
      </c>
      <c r="H72" s="132">
        <f t="shared" si="13"/>
        <v>4810437</v>
      </c>
      <c r="I72" s="133">
        <f>MacroInformation!$D$29</f>
        <v>2.7099999999999999E-2</v>
      </c>
      <c r="J72" s="132">
        <f t="shared" si="14"/>
        <v>0</v>
      </c>
      <c r="K72" s="132">
        <f t="shared" si="15"/>
        <v>130362.84269999999</v>
      </c>
      <c r="L72" s="131">
        <f t="shared" si="16"/>
        <v>4940799.8697999995</v>
      </c>
      <c r="N72" s="132">
        <f t="shared" si="17"/>
        <v>4940799.8697999995</v>
      </c>
      <c r="O72" s="133">
        <f>MacroInformation!$D$30</f>
        <v>2.5700000000000001E-2</v>
      </c>
      <c r="P72" s="132">
        <f t="shared" si="18"/>
        <v>0</v>
      </c>
      <c r="Q72" s="132">
        <f t="shared" si="19"/>
        <v>126978.55665386</v>
      </c>
      <c r="R72" s="131">
        <f t="shared" si="20"/>
        <v>5067778.4521538597</v>
      </c>
      <c r="T72" s="132">
        <f t="shared" si="21"/>
        <v>5067778.4521538597</v>
      </c>
      <c r="U72" s="133">
        <f>MacroInformation!$D$31</f>
        <v>2.6700000000000002E-2</v>
      </c>
      <c r="V72" s="132">
        <v>0</v>
      </c>
      <c r="W72" s="132">
        <f t="shared" si="22"/>
        <v>135309.68467250807</v>
      </c>
      <c r="X72" s="131">
        <f t="shared" si="23"/>
        <v>5203088.1635263683</v>
      </c>
    </row>
    <row r="73" spans="1:24" x14ac:dyDescent="0.35">
      <c r="A73" s="61" t="s">
        <v>108</v>
      </c>
      <c r="C73" s="130">
        <v>7299260</v>
      </c>
      <c r="D73" s="130">
        <v>0</v>
      </c>
      <c r="E73" s="130">
        <v>0</v>
      </c>
      <c r="F73" s="131">
        <f t="shared" si="12"/>
        <v>7299260</v>
      </c>
      <c r="H73" s="132">
        <f t="shared" si="13"/>
        <v>7299260</v>
      </c>
      <c r="I73" s="133">
        <f>MacroInformation!$D$29</f>
        <v>2.7099999999999999E-2</v>
      </c>
      <c r="J73" s="132">
        <f t="shared" si="14"/>
        <v>0</v>
      </c>
      <c r="K73" s="132">
        <f t="shared" si="15"/>
        <v>197809.946</v>
      </c>
      <c r="L73" s="131">
        <f t="shared" si="16"/>
        <v>7497069.9730999991</v>
      </c>
      <c r="N73" s="132">
        <f t="shared" si="17"/>
        <v>7497069.9730999991</v>
      </c>
      <c r="O73" s="133">
        <f>MacroInformation!$D$30</f>
        <v>2.5700000000000001E-2</v>
      </c>
      <c r="P73" s="132">
        <f t="shared" si="18"/>
        <v>0</v>
      </c>
      <c r="Q73" s="132">
        <f t="shared" si="19"/>
        <v>192674.69830866999</v>
      </c>
      <c r="R73" s="131">
        <f t="shared" si="20"/>
        <v>7689744.6971086692</v>
      </c>
      <c r="T73" s="132">
        <f t="shared" si="21"/>
        <v>7689744.6971086692</v>
      </c>
      <c r="U73" s="133">
        <f>MacroInformation!$D$31</f>
        <v>2.6700000000000002E-2</v>
      </c>
      <c r="V73" s="132">
        <v>0</v>
      </c>
      <c r="W73" s="132">
        <f t="shared" si="22"/>
        <v>205316.18341280147</v>
      </c>
      <c r="X73" s="131">
        <f t="shared" si="23"/>
        <v>7895060.907221471</v>
      </c>
    </row>
    <row r="74" spans="1:24" x14ac:dyDescent="0.35">
      <c r="A74" s="61" t="s">
        <v>109</v>
      </c>
      <c r="C74" s="130">
        <v>7907534</v>
      </c>
      <c r="D74" s="130">
        <v>0</v>
      </c>
      <c r="E74" s="130">
        <v>0</v>
      </c>
      <c r="F74" s="131">
        <f t="shared" si="12"/>
        <v>7907534</v>
      </c>
      <c r="H74" s="132">
        <f t="shared" si="13"/>
        <v>7907534</v>
      </c>
      <c r="I74" s="133">
        <f>MacroInformation!$D$29</f>
        <v>2.7099999999999999E-2</v>
      </c>
      <c r="J74" s="132">
        <f t="shared" si="14"/>
        <v>0</v>
      </c>
      <c r="K74" s="132">
        <f t="shared" si="15"/>
        <v>214294.17139999999</v>
      </c>
      <c r="L74" s="131">
        <f t="shared" si="16"/>
        <v>8121828.1984999999</v>
      </c>
      <c r="N74" s="132">
        <f t="shared" si="17"/>
        <v>8121828.1984999999</v>
      </c>
      <c r="O74" s="133">
        <f>MacroInformation!$D$30</f>
        <v>2.5700000000000001E-2</v>
      </c>
      <c r="P74" s="132">
        <f t="shared" si="18"/>
        <v>0</v>
      </c>
      <c r="Q74" s="132">
        <f t="shared" si="19"/>
        <v>208730.98470145001</v>
      </c>
      <c r="R74" s="131">
        <f t="shared" si="20"/>
        <v>8330559.20890145</v>
      </c>
      <c r="T74" s="132">
        <f t="shared" si="21"/>
        <v>8330559.20890145</v>
      </c>
      <c r="U74" s="133">
        <f>MacroInformation!$D$31</f>
        <v>2.6700000000000002E-2</v>
      </c>
      <c r="V74" s="132">
        <v>0</v>
      </c>
      <c r="W74" s="132">
        <f t="shared" si="22"/>
        <v>222425.93087766872</v>
      </c>
      <c r="X74" s="131">
        <f t="shared" si="23"/>
        <v>8552985.1664791182</v>
      </c>
    </row>
    <row r="75" spans="1:24" x14ac:dyDescent="0.35">
      <c r="A75" s="61" t="s">
        <v>110</v>
      </c>
      <c r="C75" s="130">
        <v>9124076</v>
      </c>
      <c r="D75" s="130">
        <v>0</v>
      </c>
      <c r="E75" s="130">
        <v>0</v>
      </c>
      <c r="F75" s="131">
        <f t="shared" si="12"/>
        <v>9124076</v>
      </c>
      <c r="H75" s="132">
        <f t="shared" si="13"/>
        <v>9124076</v>
      </c>
      <c r="I75" s="133">
        <f>MacroInformation!$D$29</f>
        <v>2.7099999999999999E-2</v>
      </c>
      <c r="J75" s="132">
        <f t="shared" si="14"/>
        <v>0</v>
      </c>
      <c r="K75" s="132">
        <f t="shared" si="15"/>
        <v>247262.4596</v>
      </c>
      <c r="L75" s="131">
        <f t="shared" si="16"/>
        <v>9371338.4867000002</v>
      </c>
      <c r="N75" s="132">
        <f t="shared" si="17"/>
        <v>9371338.4867000002</v>
      </c>
      <c r="O75" s="133">
        <f>MacroInformation!$D$30</f>
        <v>2.5700000000000001E-2</v>
      </c>
      <c r="P75" s="132">
        <f t="shared" si="18"/>
        <v>0</v>
      </c>
      <c r="Q75" s="132">
        <f t="shared" si="19"/>
        <v>240843.39910819</v>
      </c>
      <c r="R75" s="131">
        <f t="shared" si="20"/>
        <v>9612181.9115081895</v>
      </c>
      <c r="T75" s="132">
        <f t="shared" si="21"/>
        <v>9612181.9115081895</v>
      </c>
      <c r="U75" s="133">
        <f>MacroInformation!$D$31</f>
        <v>2.6700000000000002E-2</v>
      </c>
      <c r="V75" s="132">
        <v>0</v>
      </c>
      <c r="W75" s="132">
        <f t="shared" si="22"/>
        <v>256645.25703726866</v>
      </c>
      <c r="X75" s="131">
        <f t="shared" si="23"/>
        <v>9868827.1952454578</v>
      </c>
    </row>
    <row r="76" spans="1:24" x14ac:dyDescent="0.35">
      <c r="A76" s="61" t="s">
        <v>154</v>
      </c>
      <c r="C76" s="131">
        <f>SUM(C4:C75)</f>
        <v>569854671</v>
      </c>
      <c r="D76" s="131">
        <f>SUM(D4:D75)</f>
        <v>-821168</v>
      </c>
      <c r="E76" s="131">
        <f>SUM(E4:E75)</f>
        <v>-12810</v>
      </c>
      <c r="F76" s="131">
        <f>SUM(F4:F75)</f>
        <v>569020693</v>
      </c>
      <c r="H76" s="131">
        <f>SUM(H4:H75)</f>
        <v>569020693</v>
      </c>
      <c r="I76" s="134">
        <f t="shared" ref="I76" si="24">+I$4</f>
        <v>2.7099999999999999E-2</v>
      </c>
      <c r="J76" s="131">
        <f>SUM(J4:J75)</f>
        <v>-821168</v>
      </c>
      <c r="K76" s="131">
        <f>SUM(K4:K75)</f>
        <v>15420460.780299999</v>
      </c>
      <c r="L76" s="131">
        <f>SUM(L4:L75)</f>
        <v>583619987.73149991</v>
      </c>
      <c r="N76" s="131">
        <f>SUM(N4:N75)</f>
        <v>583619987.73149991</v>
      </c>
      <c r="O76" s="134">
        <f t="shared" ref="O76" si="25">+O$4</f>
        <v>2.5700000000000001E-2</v>
      </c>
      <c r="P76" s="131">
        <f>SUM(P4:P75)</f>
        <v>-821168</v>
      </c>
      <c r="Q76" s="131">
        <f>SUM(Q4:Q75)</f>
        <v>14999033.684699558</v>
      </c>
      <c r="R76" s="131">
        <f>SUM(R4:R75)</f>
        <v>597797855.26659942</v>
      </c>
      <c r="T76" s="131">
        <f>SUM(T4:T75)</f>
        <v>597797855.26659942</v>
      </c>
      <c r="U76" s="134">
        <f t="shared" ref="U76" si="26">+U$4</f>
        <v>2.6700000000000002E-2</v>
      </c>
      <c r="V76" s="131">
        <f>SUM(V4:V75)</f>
        <v>-821168</v>
      </c>
      <c r="W76" s="131">
        <f>SUM(W4:W75)</f>
        <v>15961202.735618208</v>
      </c>
      <c r="X76" s="131">
        <f>SUM(X4:X75)</f>
        <v>612937891.92461777</v>
      </c>
    </row>
    <row r="78" spans="1:24" x14ac:dyDescent="0.35">
      <c r="A78" s="71"/>
    </row>
  </sheetData>
  <mergeCells count="4">
    <mergeCell ref="C1:F1"/>
    <mergeCell ref="H1:L1"/>
    <mergeCell ref="N1:R1"/>
    <mergeCell ref="T1:X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
  <sheetViews>
    <sheetView workbookViewId="0">
      <selection activeCell="I21" sqref="I21"/>
    </sheetView>
  </sheetViews>
  <sheetFormatPr defaultColWidth="9.08984375" defaultRowHeight="14.5" x14ac:dyDescent="0.35"/>
  <cols>
    <col min="1" max="1" width="12.36328125" style="224" customWidth="1"/>
    <col min="2" max="2" width="14.36328125" style="225" customWidth="1"/>
    <col min="3" max="3" width="12.36328125" style="226" customWidth="1"/>
    <col min="4" max="4" width="12.36328125" style="225" customWidth="1"/>
    <col min="5" max="5" width="14.36328125" style="228" customWidth="1"/>
    <col min="6" max="6" width="15.453125" style="228" bestFit="1" customWidth="1"/>
    <col min="7" max="7" width="14.36328125" style="229" bestFit="1" customWidth="1"/>
    <col min="8" max="8" width="12.36328125" style="224" customWidth="1"/>
    <col min="9" max="9" width="12.36328125" style="226" customWidth="1"/>
    <col min="10" max="10" width="12.453125" style="225" customWidth="1"/>
    <col min="11" max="11" width="12.36328125" style="224" customWidth="1"/>
    <col min="12" max="12" width="12.36328125" style="226" customWidth="1"/>
    <col min="13" max="13" width="12.36328125" style="225" customWidth="1"/>
    <col min="14" max="17" width="12.36328125" style="224" customWidth="1"/>
    <col min="18" max="16384" width="9.08984375" style="224"/>
  </cols>
  <sheetData>
    <row r="2" spans="1:13" x14ac:dyDescent="0.35">
      <c r="A2" s="223" t="s">
        <v>480</v>
      </c>
      <c r="B2" s="278" t="s">
        <v>481</v>
      </c>
      <c r="C2" s="278"/>
      <c r="D2" s="278"/>
      <c r="E2" s="278"/>
      <c r="F2" s="278"/>
      <c r="G2" s="278"/>
      <c r="H2" s="278"/>
      <c r="I2" s="278"/>
      <c r="J2" s="278"/>
      <c r="L2" s="279" t="s">
        <v>482</v>
      </c>
      <c r="M2" s="279"/>
    </row>
    <row r="3" spans="1:13" ht="58" x14ac:dyDescent="0.35">
      <c r="B3" s="225" t="s">
        <v>483</v>
      </c>
      <c r="C3" s="226" t="s">
        <v>484</v>
      </c>
      <c r="D3" s="225" t="s">
        <v>485</v>
      </c>
      <c r="E3" s="227" t="s">
        <v>486</v>
      </c>
      <c r="F3" s="228" t="s">
        <v>487</v>
      </c>
      <c r="G3" s="229" t="s">
        <v>488</v>
      </c>
      <c r="H3" s="224" t="s">
        <v>489</v>
      </c>
      <c r="I3" s="226" t="s">
        <v>490</v>
      </c>
      <c r="J3" s="225" t="s">
        <v>491</v>
      </c>
      <c r="L3" s="226" t="s">
        <v>492</v>
      </c>
      <c r="M3" s="225" t="s">
        <v>485</v>
      </c>
    </row>
    <row r="4" spans="1:13" x14ac:dyDescent="0.35">
      <c r="A4" s="224" t="s">
        <v>493</v>
      </c>
      <c r="B4" s="230">
        <v>5071.8064610000001</v>
      </c>
      <c r="C4" s="231">
        <v>1.5599999999999999E-2</v>
      </c>
      <c r="D4" s="225">
        <f>+B4*(1+C4)</f>
        <v>5150.9266417916006</v>
      </c>
      <c r="E4" s="232">
        <v>183615000</v>
      </c>
      <c r="F4" s="232"/>
      <c r="G4" s="233">
        <v>1135021.71</v>
      </c>
      <c r="H4" s="224">
        <f>+E4/G4</f>
        <v>161.77223605705305</v>
      </c>
      <c r="J4" s="230">
        <f>+D4+H4</f>
        <v>5312.6988778486539</v>
      </c>
      <c r="L4" s="231">
        <v>2.7099999999999999E-2</v>
      </c>
      <c r="M4" s="225">
        <f>+J4*(1+L4)</f>
        <v>5456.673017438352</v>
      </c>
    </row>
    <row r="5" spans="1:13" x14ac:dyDescent="0.35">
      <c r="A5" s="224" t="s">
        <v>494</v>
      </c>
      <c r="B5" s="230">
        <v>3049.8199599999998</v>
      </c>
      <c r="C5" s="226">
        <f>+C$4</f>
        <v>1.5599999999999999E-2</v>
      </c>
      <c r="D5" s="225">
        <f>+B5*(1+C5)</f>
        <v>3097.3971513759998</v>
      </c>
      <c r="E5" s="228">
        <f>+E$4</f>
        <v>183615000</v>
      </c>
      <c r="G5" s="229">
        <f>+G$4</f>
        <v>1135021.71</v>
      </c>
      <c r="H5" s="224">
        <f>+E5/G5</f>
        <v>161.77223605705305</v>
      </c>
      <c r="J5" s="225">
        <f>+D5+H5</f>
        <v>3259.1693874330526</v>
      </c>
      <c r="L5" s="226">
        <f>+L$4</f>
        <v>2.7099999999999999E-2</v>
      </c>
      <c r="M5" s="225">
        <f>+J5*(1+L5)</f>
        <v>3347.4928778324879</v>
      </c>
    </row>
    <row r="6" spans="1:13" x14ac:dyDescent="0.35">
      <c r="A6" s="224" t="s">
        <v>495</v>
      </c>
      <c r="B6" s="225">
        <f>+B$4</f>
        <v>5071.8064610000001</v>
      </c>
      <c r="C6" s="226">
        <f>+C$4</f>
        <v>1.5599999999999999E-2</v>
      </c>
      <c r="D6" s="225">
        <f>+B6*(1+C6)</f>
        <v>5150.9266417916006</v>
      </c>
      <c r="E6" s="228">
        <f>+E$4</f>
        <v>183615000</v>
      </c>
      <c r="G6" s="229">
        <f>+G$4</f>
        <v>1135021.71</v>
      </c>
      <c r="H6" s="224">
        <f>+E6/G6</f>
        <v>161.77223605705305</v>
      </c>
      <c r="J6" s="225">
        <f>+D6+H6</f>
        <v>5312.6988778486539</v>
      </c>
      <c r="L6" s="226">
        <f>+L$4</f>
        <v>2.7099999999999999E-2</v>
      </c>
      <c r="M6" s="225">
        <f>+J6*(1+L6)</f>
        <v>5456.673017438352</v>
      </c>
    </row>
  </sheetData>
  <mergeCells count="2">
    <mergeCell ref="B2:J2"/>
    <mergeCell ref="L2:M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R75"/>
  <sheetViews>
    <sheetView workbookViewId="0">
      <pane ySplit="1" topLeftCell="A2" activePane="bottomLeft" state="frozen"/>
      <selection activeCell="B1" sqref="B1"/>
      <selection pane="bottomLeft" activeCell="J75" activeCellId="1" sqref="D75 J75"/>
    </sheetView>
  </sheetViews>
  <sheetFormatPr defaultRowHeight="14.5" x14ac:dyDescent="0.35"/>
  <cols>
    <col min="1" max="1" width="53.36328125" bestFit="1" customWidth="1"/>
    <col min="2" max="2" width="9" bestFit="1" customWidth="1"/>
    <col min="3" max="3" width="8.6328125" style="3"/>
    <col min="4" max="4" width="9.54296875" bestFit="1" customWidth="1"/>
    <col min="5" max="5" width="10.54296875" bestFit="1" customWidth="1"/>
    <col min="6" max="6" width="10.90625" customWidth="1"/>
    <col min="7" max="7" width="2.08984375" customWidth="1"/>
    <col min="8" max="8" width="8.6328125" style="3"/>
    <col min="9" max="9" width="11.36328125" bestFit="1" customWidth="1"/>
    <col min="10" max="10" width="10.36328125" bestFit="1" customWidth="1"/>
    <col min="11" max="11" width="10.08984375" customWidth="1"/>
    <col min="12" max="12" width="11" customWidth="1"/>
    <col min="13" max="13" width="1.6328125" customWidth="1"/>
    <col min="16" max="16" width="10.54296875" customWidth="1"/>
    <col min="17" max="17" width="10.90625" customWidth="1"/>
    <col min="18" max="18" width="11.36328125" customWidth="1"/>
  </cols>
  <sheetData>
    <row r="1" spans="1:18" s="60" customFormat="1" ht="58" x14ac:dyDescent="0.35">
      <c r="A1" s="35" t="s">
        <v>155</v>
      </c>
      <c r="B1" s="60" t="s">
        <v>156</v>
      </c>
      <c r="C1" s="49" t="s">
        <v>22</v>
      </c>
      <c r="D1" s="60" t="s">
        <v>23</v>
      </c>
      <c r="E1" s="60" t="s">
        <v>24</v>
      </c>
      <c r="F1" s="60" t="s">
        <v>25</v>
      </c>
      <c r="H1" s="49" t="s">
        <v>26</v>
      </c>
      <c r="I1" s="60" t="s">
        <v>27</v>
      </c>
      <c r="J1" s="60" t="s">
        <v>28</v>
      </c>
      <c r="K1" s="60" t="s">
        <v>29</v>
      </c>
      <c r="L1" s="60" t="s">
        <v>30</v>
      </c>
      <c r="N1" s="60" t="s">
        <v>31</v>
      </c>
      <c r="O1" s="60" t="s">
        <v>32</v>
      </c>
      <c r="P1" s="60" t="s">
        <v>33</v>
      </c>
      <c r="Q1" s="60" t="s">
        <v>34</v>
      </c>
      <c r="R1" s="60" t="s">
        <v>35</v>
      </c>
    </row>
    <row r="2" spans="1:18" s="7" customFormat="1" ht="15.5" x14ac:dyDescent="0.35">
      <c r="A2" s="34" t="s">
        <v>157</v>
      </c>
      <c r="B2" s="39">
        <v>2927</v>
      </c>
      <c r="C2" s="40">
        <v>3.936424322268979E-2</v>
      </c>
      <c r="D2" s="39">
        <v>3042.2191399128128</v>
      </c>
      <c r="E2" s="39">
        <v>3161.9737940730629</v>
      </c>
      <c r="F2" s="39">
        <v>3286.4424995667259</v>
      </c>
      <c r="G2" s="39"/>
      <c r="H2" s="41">
        <v>855</v>
      </c>
      <c r="I2" s="42">
        <v>0.1790131962616619</v>
      </c>
      <c r="J2" s="39">
        <v>1008.0562828037209</v>
      </c>
      <c r="K2" s="39">
        <v>1188.5116600000647</v>
      </c>
      <c r="L2" s="39">
        <v>1401.2709310509299</v>
      </c>
      <c r="M2" s="39"/>
      <c r="N2" s="39">
        <v>3331</v>
      </c>
      <c r="O2" s="42">
        <v>-9.8584201346388241E-3</v>
      </c>
      <c r="P2" s="39">
        <v>3298.1616025315184</v>
      </c>
      <c r="Q2" s="43">
        <v>3265.6469397818291</v>
      </c>
      <c r="R2" s="43">
        <v>3233.4528202380625</v>
      </c>
    </row>
    <row r="3" spans="1:18" s="4" customFormat="1" ht="15.5" x14ac:dyDescent="0.35">
      <c r="A3" s="9" t="s">
        <v>158</v>
      </c>
      <c r="B3" s="28">
        <v>7777</v>
      </c>
      <c r="C3" s="36">
        <v>7.6568389148568448E-3</v>
      </c>
      <c r="D3" s="29">
        <v>7836.5472362408409</v>
      </c>
      <c r="E3" s="29">
        <v>7896.5504160774035</v>
      </c>
      <c r="F3" s="29">
        <v>7957.0130305963539</v>
      </c>
      <c r="G3" s="30"/>
      <c r="H3" s="38">
        <v>510</v>
      </c>
      <c r="I3" s="20">
        <v>3.1276514982726961E-2</v>
      </c>
      <c r="J3" s="29">
        <v>525.95102264119078</v>
      </c>
      <c r="K3" s="29">
        <v>542.4009376810086</v>
      </c>
      <c r="L3" s="29">
        <v>559.36534873503388</v>
      </c>
      <c r="M3" s="29"/>
      <c r="N3" s="29">
        <v>5288</v>
      </c>
      <c r="O3" s="20">
        <v>5.0593937576288274E-3</v>
      </c>
      <c r="P3" s="29">
        <v>5314.7540741903413</v>
      </c>
      <c r="Q3" s="29">
        <v>5341.6435077766328</v>
      </c>
      <c r="R3" s="29">
        <v>5368.6689855953564</v>
      </c>
    </row>
    <row r="4" spans="1:18" ht="15.5" x14ac:dyDescent="0.35">
      <c r="A4" s="9" t="s">
        <v>159</v>
      </c>
      <c r="B4" s="28">
        <v>2172</v>
      </c>
      <c r="C4" s="37">
        <v>-6.134576360354678E-2</v>
      </c>
      <c r="D4" s="29">
        <v>2038.7570014530963</v>
      </c>
      <c r="E4" s="29">
        <v>1913.6878963968786</v>
      </c>
      <c r="F4" s="29">
        <v>1796.2912510935469</v>
      </c>
      <c r="G4" s="30"/>
      <c r="H4" s="25">
        <v>59</v>
      </c>
      <c r="I4" s="20">
        <v>0.4090356437098539</v>
      </c>
      <c r="J4" s="29">
        <v>83.133102978881382</v>
      </c>
      <c r="K4" s="29">
        <v>117.1375052694457</v>
      </c>
      <c r="L4" s="26">
        <v>165.05092013989983</v>
      </c>
      <c r="M4" s="26"/>
      <c r="N4" s="26">
        <v>2021</v>
      </c>
      <c r="O4" s="21">
        <v>-3.7714713135876335E-2</v>
      </c>
      <c r="P4" s="26">
        <v>1944.7785647523938</v>
      </c>
      <c r="Q4" s="26">
        <v>1871.4317990699558</v>
      </c>
      <c r="R4" s="26">
        <v>1800.8512856146754</v>
      </c>
    </row>
    <row r="5" spans="1:18" ht="15.5" x14ac:dyDescent="0.35">
      <c r="A5" s="9" t="s">
        <v>160</v>
      </c>
      <c r="B5" s="28">
        <v>5544</v>
      </c>
      <c r="C5" s="37">
        <v>-3.6877440308759876E-2</v>
      </c>
      <c r="D5" s="29">
        <v>5339.5514709282352</v>
      </c>
      <c r="E5" s="29">
        <v>5142.6424802835281</v>
      </c>
      <c r="F5" s="29">
        <v>4952.9949891875794</v>
      </c>
      <c r="G5" s="30"/>
      <c r="H5" s="25">
        <v>305</v>
      </c>
      <c r="I5" s="20">
        <v>0.1829971111088225</v>
      </c>
      <c r="J5" s="29">
        <v>360.81411888819082</v>
      </c>
      <c r="K5" s="29">
        <v>426.84206029200493</v>
      </c>
      <c r="L5" s="26">
        <v>504.95292422517963</v>
      </c>
      <c r="M5" s="26"/>
      <c r="N5" s="26">
        <v>3154</v>
      </c>
      <c r="O5" s="21">
        <v>-5.9618782950236794E-2</v>
      </c>
      <c r="P5" s="26">
        <v>2965.9623585749532</v>
      </c>
      <c r="Q5" s="26">
        <v>2789.1352924805005</v>
      </c>
      <c r="R5" s="26">
        <v>2622.8504408592603</v>
      </c>
    </row>
    <row r="6" spans="1:18" ht="15.5" x14ac:dyDescent="0.35">
      <c r="A6" s="9" t="s">
        <v>161</v>
      </c>
      <c r="B6" s="28">
        <v>3043</v>
      </c>
      <c r="C6" s="37">
        <v>-3.3074273720986834E-2</v>
      </c>
      <c r="D6" s="29">
        <v>2942.354985067037</v>
      </c>
      <c r="E6" s="29">
        <v>2845.0387309066195</v>
      </c>
      <c r="F6" s="29">
        <v>2750.9411411738051</v>
      </c>
      <c r="G6" s="30"/>
      <c r="H6" s="25">
        <v>521</v>
      </c>
      <c r="I6" s="20">
        <v>-7.1777166623415989E-3</v>
      </c>
      <c r="J6" s="29">
        <v>517.26040961891999</v>
      </c>
      <c r="K6" s="29">
        <v>513.5476609580287</v>
      </c>
      <c r="L6" s="26">
        <v>509.86156135506371</v>
      </c>
      <c r="M6" s="26"/>
      <c r="N6" s="26">
        <v>2988</v>
      </c>
      <c r="O6" s="21">
        <v>-5.2741729309470339E-2</v>
      </c>
      <c r="P6" s="26">
        <v>2830.407712823303</v>
      </c>
      <c r="Q6" s="26">
        <v>2681.1271153981393</v>
      </c>
      <c r="R6" s="26">
        <v>2539.7198348335296</v>
      </c>
    </row>
    <row r="7" spans="1:18" ht="15.5" x14ac:dyDescent="0.35">
      <c r="A7" s="9" t="s">
        <v>162</v>
      </c>
      <c r="B7" s="28">
        <v>10754</v>
      </c>
      <c r="C7" s="37">
        <v>4.7125122919424724E-4</v>
      </c>
      <c r="D7" s="29">
        <v>10759.067835718755</v>
      </c>
      <c r="E7" s="29">
        <v>10764.138059661322</v>
      </c>
      <c r="F7" s="29">
        <v>10769.210672953153</v>
      </c>
      <c r="G7" s="30"/>
      <c r="H7" s="25">
        <v>1610</v>
      </c>
      <c r="I7" s="20">
        <v>4.6965358880229985E-2</v>
      </c>
      <c r="J7" s="29">
        <v>1685.6142277971701</v>
      </c>
      <c r="K7" s="29">
        <v>1764.7797049392857</v>
      </c>
      <c r="L7" s="26">
        <v>1847.6632171263054</v>
      </c>
      <c r="M7" s="26"/>
      <c r="N7" s="26">
        <v>6641</v>
      </c>
      <c r="O7" s="21">
        <v>2.741657146283627E-2</v>
      </c>
      <c r="P7" s="26">
        <v>6823.073451084696</v>
      </c>
      <c r="Q7" s="26">
        <v>7010.1387319525402</v>
      </c>
      <c r="R7" s="26">
        <v>7202.3327014615134</v>
      </c>
    </row>
    <row r="8" spans="1:18" ht="15.5" x14ac:dyDescent="0.35">
      <c r="A8" s="9" t="s">
        <v>163</v>
      </c>
      <c r="B8" s="28">
        <v>4865</v>
      </c>
      <c r="C8" s="37">
        <v>-4.1593865836522782E-2</v>
      </c>
      <c r="D8" s="29">
        <v>4662.6458427053167</v>
      </c>
      <c r="E8" s="29">
        <v>4468.7083770806112</v>
      </c>
      <c r="F8" s="29">
        <v>4282.837520381775</v>
      </c>
      <c r="G8" s="30"/>
      <c r="H8" s="25">
        <v>283</v>
      </c>
      <c r="I8" s="20">
        <v>1.3845982759707165E-2</v>
      </c>
      <c r="J8" s="29">
        <v>286.91841312099717</v>
      </c>
      <c r="K8" s="29">
        <v>290.89108052251305</v>
      </c>
      <c r="L8" s="26">
        <v>294.91875340838038</v>
      </c>
      <c r="M8" s="26"/>
      <c r="N8" s="26">
        <v>4203</v>
      </c>
      <c r="O8" s="21">
        <v>-2.4520988819802782E-2</v>
      </c>
      <c r="P8" s="26">
        <v>4099.9382839903692</v>
      </c>
      <c r="Q8" s="26">
        <v>3999.4037431667598</v>
      </c>
      <c r="R8" s="26">
        <v>3901.3344086946904</v>
      </c>
    </row>
    <row r="9" spans="1:18" ht="15.5" x14ac:dyDescent="0.35">
      <c r="A9" s="9" t="s">
        <v>164</v>
      </c>
      <c r="B9" s="28">
        <v>8498</v>
      </c>
      <c r="C9" s="37">
        <v>-4.7947810950158317E-3</v>
      </c>
      <c r="D9" s="29">
        <v>8457.2539502545551</v>
      </c>
      <c r="E9" s="29">
        <v>8416.7032688981271</v>
      </c>
      <c r="F9" s="29">
        <v>8376.3470191820561</v>
      </c>
      <c r="G9" s="30"/>
      <c r="H9" s="25">
        <v>884</v>
      </c>
      <c r="I9" s="20">
        <v>0.10322364514582363</v>
      </c>
      <c r="J9" s="29">
        <v>975.24970230890813</v>
      </c>
      <c r="K9" s="29">
        <v>1075.9185315086131</v>
      </c>
      <c r="L9" s="26">
        <v>1186.978764210874</v>
      </c>
      <c r="M9" s="26"/>
      <c r="N9" s="26">
        <v>6431</v>
      </c>
      <c r="O9" s="21">
        <v>5.5670656301194742E-2</v>
      </c>
      <c r="P9" s="26">
        <v>6789.0179906729836</v>
      </c>
      <c r="Q9" s="26">
        <v>7166.9670778543677</v>
      </c>
      <c r="R9" s="26">
        <v>7565.9568387675772</v>
      </c>
    </row>
    <row r="10" spans="1:18" ht="15.5" x14ac:dyDescent="0.35">
      <c r="A10" s="9" t="s">
        <v>165</v>
      </c>
      <c r="B10" s="28">
        <v>4792</v>
      </c>
      <c r="C10" s="37">
        <v>-1.1198153562963765E-2</v>
      </c>
      <c r="D10" s="29">
        <v>4738.3384481262783</v>
      </c>
      <c r="E10" s="29">
        <v>4685.2778065508646</v>
      </c>
      <c r="F10" s="29">
        <v>4632.811346187962</v>
      </c>
      <c r="G10" s="30"/>
      <c r="H10" s="25">
        <v>457</v>
      </c>
      <c r="I10" s="20">
        <v>7.51442983882947E-2</v>
      </c>
      <c r="J10" s="29">
        <v>491.34094436345066</v>
      </c>
      <c r="K10" s="29">
        <v>528.26241489708423</v>
      </c>
      <c r="L10" s="26">
        <v>567.95832342943186</v>
      </c>
      <c r="M10" s="26"/>
      <c r="N10" s="26">
        <v>3354</v>
      </c>
      <c r="O10" s="21">
        <v>5.3228081637901561E-2</v>
      </c>
      <c r="P10" s="26">
        <v>3532.5269858135221</v>
      </c>
      <c r="Q10" s="26">
        <v>3720.5566206024946</v>
      </c>
      <c r="R10" s="26">
        <v>3918.5947121423596</v>
      </c>
    </row>
    <row r="11" spans="1:18" ht="15.5" x14ac:dyDescent="0.35">
      <c r="A11" s="9" t="s">
        <v>166</v>
      </c>
      <c r="B11" s="28">
        <v>11741</v>
      </c>
      <c r="C11" s="37">
        <v>5.8020650858232027E-2</v>
      </c>
      <c r="D11" s="29">
        <v>12422.220461726502</v>
      </c>
      <c r="E11" s="29">
        <v>13142.96577802032</v>
      </c>
      <c r="F11" s="29">
        <v>13905.529206668527</v>
      </c>
      <c r="G11" s="30"/>
      <c r="H11" s="25">
        <v>1280</v>
      </c>
      <c r="I11" s="20">
        <v>7.8600373359291043E-2</v>
      </c>
      <c r="J11" s="29">
        <v>1380.6084778998925</v>
      </c>
      <c r="K11" s="29">
        <v>1489.1248197258265</v>
      </c>
      <c r="L11" s="26">
        <v>1606.1705865348633</v>
      </c>
      <c r="M11" s="26"/>
      <c r="N11" s="26">
        <v>15094</v>
      </c>
      <c r="O11" s="21">
        <v>4.4018496130874607E-2</v>
      </c>
      <c r="P11" s="26">
        <v>15758.415180599419</v>
      </c>
      <c r="Q11" s="26">
        <v>16452.076918255349</v>
      </c>
      <c r="R11" s="26">
        <v>17176.272602426423</v>
      </c>
    </row>
    <row r="12" spans="1:18" ht="15.5" x14ac:dyDescent="0.35">
      <c r="A12" s="9" t="s">
        <v>167</v>
      </c>
      <c r="B12" s="28">
        <v>2698</v>
      </c>
      <c r="C12" s="37">
        <v>1.9947605563546422E-2</v>
      </c>
      <c r="D12" s="29">
        <v>2751.8186398104481</v>
      </c>
      <c r="E12" s="29">
        <v>2806.7108326198017</v>
      </c>
      <c r="F12" s="29">
        <v>2862.6979932398344</v>
      </c>
      <c r="G12" s="30"/>
      <c r="H12" s="25">
        <v>788</v>
      </c>
      <c r="I12" s="20">
        <v>0.42779891940688447</v>
      </c>
      <c r="J12" s="29">
        <v>1125.1055484926251</v>
      </c>
      <c r="K12" s="29">
        <v>1606.4244863564602</v>
      </c>
      <c r="L12" s="26">
        <v>2293.6511457285133</v>
      </c>
      <c r="M12" s="26"/>
      <c r="N12" s="26">
        <v>2359</v>
      </c>
      <c r="O12" s="21">
        <v>-3.9487622764587324E-2</v>
      </c>
      <c r="P12" s="26">
        <v>2265.8486978983387</v>
      </c>
      <c r="Q12" s="26">
        <v>2176.3757192740977</v>
      </c>
      <c r="R12" s="26">
        <v>2090.4358158773948</v>
      </c>
    </row>
    <row r="13" spans="1:18" ht="15.5" x14ac:dyDescent="0.35">
      <c r="A13" s="9" t="s">
        <v>168</v>
      </c>
      <c r="B13" s="28">
        <v>8829</v>
      </c>
      <c r="C13" s="37">
        <v>4.4198435640163906E-3</v>
      </c>
      <c r="D13" s="29">
        <v>8868.0227988266997</v>
      </c>
      <c r="E13" s="29">
        <v>8907.2180723196452</v>
      </c>
      <c r="F13" s="29">
        <v>8946.5865827898779</v>
      </c>
      <c r="G13" s="30"/>
      <c r="H13" s="25">
        <v>2275</v>
      </c>
      <c r="I13" s="20">
        <v>0.29135780850624809</v>
      </c>
      <c r="J13" s="29">
        <v>2937.8390143517145</v>
      </c>
      <c r="K13" s="29">
        <v>3793.801351317386</v>
      </c>
      <c r="L13" s="26">
        <v>4899.1549989452624</v>
      </c>
      <c r="M13" s="26"/>
      <c r="N13" s="26">
        <v>7033</v>
      </c>
      <c r="O13" s="21">
        <v>-1.4398678091670548E-2</v>
      </c>
      <c r="P13" s="26">
        <v>6931.7340969812813</v>
      </c>
      <c r="Q13" s="26">
        <v>6831.9262891017916</v>
      </c>
      <c r="R13" s="26">
        <v>6733.5555817189934</v>
      </c>
    </row>
    <row r="14" spans="1:18" ht="15.5" x14ac:dyDescent="0.35">
      <c r="A14" s="9" t="s">
        <v>169</v>
      </c>
      <c r="B14" s="28">
        <v>1055</v>
      </c>
      <c r="C14" s="37">
        <v>-2.5724257238140869E-3</v>
      </c>
      <c r="D14" s="29">
        <v>1052.2860908613761</v>
      </c>
      <c r="E14" s="29">
        <v>1049.5791630524325</v>
      </c>
      <c r="F14" s="29">
        <v>1046.8791986142171</v>
      </c>
      <c r="G14" s="30"/>
      <c r="H14" s="25">
        <v>60</v>
      </c>
      <c r="I14" s="20">
        <v>0.7356341575091575</v>
      </c>
      <c r="J14" s="29">
        <v>104.13804945054945</v>
      </c>
      <c r="K14" s="29">
        <v>180.74555572275136</v>
      </c>
      <c r="L14" s="26">
        <v>313.70816033038204</v>
      </c>
      <c r="M14" s="26"/>
      <c r="N14" s="26">
        <v>899</v>
      </c>
      <c r="O14" s="21">
        <v>-2.4072456276747145E-2</v>
      </c>
      <c r="P14" s="26">
        <v>877.35886180720433</v>
      </c>
      <c r="Q14" s="26">
        <v>856.23867896733373</v>
      </c>
      <c r="R14" s="26">
        <v>835.62691080543289</v>
      </c>
    </row>
    <row r="15" spans="1:18" ht="15.5" x14ac:dyDescent="0.35">
      <c r="A15" s="9" t="s">
        <v>170</v>
      </c>
      <c r="B15" s="28">
        <v>4819</v>
      </c>
      <c r="C15" s="37">
        <v>4.140790607877045E-2</v>
      </c>
      <c r="D15" s="29">
        <v>5018.5446993935948</v>
      </c>
      <c r="E15" s="29">
        <v>5226.3521269581961</v>
      </c>
      <c r="F15" s="29">
        <v>5442.7644249658633</v>
      </c>
      <c r="G15" s="30"/>
      <c r="H15" s="25">
        <v>791</v>
      </c>
      <c r="I15" s="20">
        <v>0.10968538313519433</v>
      </c>
      <c r="J15" s="29">
        <v>877.76113805993862</v>
      </c>
      <c r="K15" s="29">
        <v>974.03870478922715</v>
      </c>
      <c r="L15" s="26">
        <v>1080.8765133125419</v>
      </c>
      <c r="M15" s="26"/>
      <c r="N15" s="26">
        <v>3209</v>
      </c>
      <c r="O15" s="21">
        <v>4.0605686741664024E-2</v>
      </c>
      <c r="P15" s="26">
        <v>3339.3036487539998</v>
      </c>
      <c r="Q15" s="26">
        <v>3474.8983666506001</v>
      </c>
      <c r="R15" s="26">
        <v>3615.999001185934</v>
      </c>
    </row>
    <row r="16" spans="1:18" ht="15.5" x14ac:dyDescent="0.35">
      <c r="A16" s="9" t="s">
        <v>171</v>
      </c>
      <c r="B16" s="28">
        <v>8355</v>
      </c>
      <c r="C16" s="37">
        <v>7.0219643005814888E-2</v>
      </c>
      <c r="D16" s="29">
        <v>8941.6851173135838</v>
      </c>
      <c r="E16" s="29">
        <v>9569.5670541217514</v>
      </c>
      <c r="F16" s="29">
        <v>10241.538636382387</v>
      </c>
      <c r="G16" s="30"/>
      <c r="H16" s="25">
        <v>3079</v>
      </c>
      <c r="I16" s="20">
        <v>0.32833271519901208</v>
      </c>
      <c r="J16" s="29">
        <v>4089.9364300977581</v>
      </c>
      <c r="K16" s="29">
        <v>5432.7963631831099</v>
      </c>
      <c r="L16" s="26">
        <v>7216.5611442303389</v>
      </c>
      <c r="M16" s="26"/>
      <c r="N16" s="26">
        <v>5332</v>
      </c>
      <c r="O16" s="21">
        <v>-1.7651678492956124E-2</v>
      </c>
      <c r="P16" s="26">
        <v>5237.8812502755582</v>
      </c>
      <c r="Q16" s="26">
        <v>5145.4238544614109</v>
      </c>
      <c r="R16" s="26">
        <v>5054.5984868724709</v>
      </c>
    </row>
    <row r="17" spans="1:18" ht="15.5" x14ac:dyDescent="0.35">
      <c r="A17" s="9" t="s">
        <v>172</v>
      </c>
      <c r="B17" s="28">
        <v>420</v>
      </c>
      <c r="C17" s="37">
        <v>-8.9539596485747081E-2</v>
      </c>
      <c r="D17" s="29">
        <v>382.39336947598622</v>
      </c>
      <c r="E17" s="29">
        <v>348.15402147428125</v>
      </c>
      <c r="F17" s="29">
        <v>316.98045087658397</v>
      </c>
      <c r="G17" s="30"/>
      <c r="H17" s="25">
        <v>18</v>
      </c>
      <c r="I17" s="20">
        <v>9.6884840305892922E-2</v>
      </c>
      <c r="J17" s="29">
        <v>19.743927125506072</v>
      </c>
      <c r="K17" s="29">
        <v>21.656814352071915</v>
      </c>
      <c r="L17" s="26">
        <v>23.755031352106769</v>
      </c>
      <c r="M17" s="26"/>
      <c r="N17" s="26">
        <v>904</v>
      </c>
      <c r="O17" s="21">
        <v>0.1124850373109447</v>
      </c>
      <c r="P17" s="26">
        <v>1005.686473729094</v>
      </c>
      <c r="Q17" s="26">
        <v>1118.8111542496235</v>
      </c>
      <c r="R17" s="26">
        <v>1244.6606686792936</v>
      </c>
    </row>
    <row r="18" spans="1:18" ht="15.5" x14ac:dyDescent="0.35">
      <c r="A18" s="9" t="s">
        <v>173</v>
      </c>
      <c r="B18" s="28">
        <v>5843</v>
      </c>
      <c r="C18" s="37">
        <v>1.7467650703691096E-2</v>
      </c>
      <c r="D18" s="29">
        <v>5945.0634830616664</v>
      </c>
      <c r="E18" s="29">
        <v>6048.9097753950564</v>
      </c>
      <c r="F18" s="29">
        <v>6154.5700184897996</v>
      </c>
      <c r="G18" s="30"/>
      <c r="H18" s="25">
        <v>1864</v>
      </c>
      <c r="I18" s="20">
        <v>0.13188329579200556</v>
      </c>
      <c r="J18" s="29">
        <v>2109.8304633562984</v>
      </c>
      <c r="K18" s="29">
        <v>2388.081858426101</v>
      </c>
      <c r="L18" s="26">
        <v>2703.0299645364325</v>
      </c>
      <c r="M18" s="26"/>
      <c r="N18" s="26">
        <v>1149</v>
      </c>
      <c r="O18" s="21">
        <v>-7.6949947561993651E-2</v>
      </c>
      <c r="P18" s="26">
        <v>1060.5845102512692</v>
      </c>
      <c r="Q18" s="26">
        <v>978.97258780237132</v>
      </c>
      <c r="R18" s="26">
        <v>903.64069850634962</v>
      </c>
    </row>
    <row r="19" spans="1:18" ht="15.5" x14ac:dyDescent="0.35">
      <c r="A19" s="9" t="s">
        <v>174</v>
      </c>
      <c r="B19" s="28">
        <v>1708</v>
      </c>
      <c r="C19" s="37">
        <v>-1.6746559824537099E-3</v>
      </c>
      <c r="D19" s="29">
        <v>1705.1396875819689</v>
      </c>
      <c r="E19" s="29">
        <v>1702.2841652032405</v>
      </c>
      <c r="F19" s="29">
        <v>1699.4334248421467</v>
      </c>
      <c r="G19" s="30"/>
      <c r="H19" s="25">
        <v>271</v>
      </c>
      <c r="I19" s="20">
        <v>0.12989285688251551</v>
      </c>
      <c r="J19" s="29">
        <v>306.20096421516172</v>
      </c>
      <c r="K19" s="29">
        <v>345.97428223724995</v>
      </c>
      <c r="L19" s="26">
        <v>390.91387016492411</v>
      </c>
      <c r="M19" s="26"/>
      <c r="N19" s="26">
        <v>1149</v>
      </c>
      <c r="O19" s="21">
        <v>-7.6949947561993651E-2</v>
      </c>
      <c r="P19" s="26">
        <v>1060.5845102512692</v>
      </c>
      <c r="Q19" s="26">
        <v>978.97258780237132</v>
      </c>
      <c r="R19" s="26">
        <v>903.64069850634962</v>
      </c>
    </row>
    <row r="20" spans="1:18" ht="15.5" x14ac:dyDescent="0.35">
      <c r="A20" s="9" t="s">
        <v>175</v>
      </c>
      <c r="B20" s="28">
        <v>6303</v>
      </c>
      <c r="C20" s="37">
        <v>-2.5261597917526822E-2</v>
      </c>
      <c r="D20" s="29">
        <v>6143.7761483258282</v>
      </c>
      <c r="E20" s="29">
        <v>5988.5745455715296</v>
      </c>
      <c r="F20" s="29">
        <v>5837.2935833021656</v>
      </c>
      <c r="G20" s="30"/>
      <c r="H20" s="25">
        <v>652</v>
      </c>
      <c r="I20" s="20">
        <v>4.6748788845562994E-2</v>
      </c>
      <c r="J20" s="29">
        <v>682.48021032730719</v>
      </c>
      <c r="K20" s="29">
        <v>714.38533357117399</v>
      </c>
      <c r="L20" s="26">
        <v>747.78198268465997</v>
      </c>
      <c r="M20" s="26"/>
      <c r="N20" s="26">
        <v>5915</v>
      </c>
      <c r="O20" s="21">
        <v>3.7346219253034961E-2</v>
      </c>
      <c r="P20" s="26">
        <v>6135.9028868817013</v>
      </c>
      <c r="Q20" s="26">
        <v>6365.0556614105153</v>
      </c>
      <c r="R20" s="26">
        <v>6602.7664256993239</v>
      </c>
    </row>
    <row r="21" spans="1:18" ht="15.5" x14ac:dyDescent="0.35">
      <c r="A21" s="9" t="s">
        <v>176</v>
      </c>
      <c r="B21" s="28">
        <v>8672</v>
      </c>
      <c r="C21" s="37">
        <v>-1.4283343042382769E-4</v>
      </c>
      <c r="D21" s="29">
        <v>8670.7613484913636</v>
      </c>
      <c r="E21" s="29">
        <v>8669.522873903572</v>
      </c>
      <c r="F21" s="29">
        <v>8668.2845762113539</v>
      </c>
      <c r="G21" s="30"/>
      <c r="H21" s="25">
        <v>581</v>
      </c>
      <c r="I21" s="20">
        <v>7.4707038451690494E-2</v>
      </c>
      <c r="J21" s="29">
        <v>624.40478934043222</v>
      </c>
      <c r="K21" s="29">
        <v>671.05222194710768</v>
      </c>
      <c r="L21" s="26">
        <v>721.18454609520268</v>
      </c>
      <c r="M21" s="26"/>
      <c r="N21" s="26">
        <v>8291</v>
      </c>
      <c r="O21" s="21">
        <v>2.2538186210675028E-2</v>
      </c>
      <c r="P21" s="26">
        <v>8477.8641018727067</v>
      </c>
      <c r="Q21" s="26">
        <v>8668.9397816695109</v>
      </c>
      <c r="R21" s="26">
        <v>8864.3219607179071</v>
      </c>
    </row>
    <row r="22" spans="1:18" ht="15.5" x14ac:dyDescent="0.35">
      <c r="A22" s="9" t="s">
        <v>177</v>
      </c>
      <c r="B22" s="28">
        <v>2908</v>
      </c>
      <c r="C22" s="37">
        <v>8.1817605276239373E-3</v>
      </c>
      <c r="D22" s="29">
        <v>2931.7925596143305</v>
      </c>
      <c r="E22" s="29">
        <v>2955.7797842537648</v>
      </c>
      <c r="F22" s="29">
        <v>2979.9632666209213</v>
      </c>
      <c r="G22" s="30"/>
      <c r="H22" s="25">
        <v>880</v>
      </c>
      <c r="I22" s="20">
        <v>0.1637118015986791</v>
      </c>
      <c r="J22" s="29">
        <v>1024.0663854068378</v>
      </c>
      <c r="K22" s="29">
        <v>1191.7181383184384</v>
      </c>
      <c r="L22" s="26">
        <v>1386.8164617403738</v>
      </c>
      <c r="M22" s="26"/>
      <c r="N22" s="26">
        <v>2537</v>
      </c>
      <c r="O22" s="21">
        <v>1.6210250817796812E-2</v>
      </c>
      <c r="P22" s="26">
        <v>2578.1254063247507</v>
      </c>
      <c r="Q22" s="26">
        <v>2619.9174658010093</v>
      </c>
      <c r="R22" s="26">
        <v>2662.3869850435703</v>
      </c>
    </row>
    <row r="23" spans="1:18" ht="15.5" x14ac:dyDescent="0.35">
      <c r="A23" s="9" t="s">
        <v>178</v>
      </c>
      <c r="B23" s="28">
        <v>4997</v>
      </c>
      <c r="C23" s="37">
        <v>-2.0667422360475009E-2</v>
      </c>
      <c r="D23" s="29">
        <v>4893.7248904647058</v>
      </c>
      <c r="E23" s="29">
        <v>4792.5842112375021</v>
      </c>
      <c r="F23" s="29">
        <v>4693.5338491457123</v>
      </c>
      <c r="G23" s="30"/>
      <c r="H23" s="25">
        <v>367</v>
      </c>
      <c r="I23" s="20">
        <v>0.37789760128453376</v>
      </c>
      <c r="J23" s="29">
        <v>505.68841967142384</v>
      </c>
      <c r="K23" s="29">
        <v>696.78686046262146</v>
      </c>
      <c r="L23" s="26">
        <v>960.10094363802716</v>
      </c>
      <c r="M23" s="26"/>
      <c r="N23" s="26">
        <v>2635</v>
      </c>
      <c r="O23" s="21">
        <v>4.2052089700337872E-2</v>
      </c>
      <c r="P23" s="26">
        <v>2745.8072563603901</v>
      </c>
      <c r="Q23" s="26">
        <v>2861.2741894046958</v>
      </c>
      <c r="R23" s="26">
        <v>2981.5967482748033</v>
      </c>
    </row>
    <row r="24" spans="1:18" ht="15.5" x14ac:dyDescent="0.35">
      <c r="A24" s="9" t="s">
        <v>179</v>
      </c>
      <c r="B24" s="28">
        <v>12745</v>
      </c>
      <c r="C24" s="37">
        <v>-1.8144906862150312E-2</v>
      </c>
      <c r="D24" s="29">
        <v>12513.743162041894</v>
      </c>
      <c r="E24" s="29">
        <v>12286.682457869772</v>
      </c>
      <c r="F24" s="29">
        <v>12063.741749026909</v>
      </c>
      <c r="G24" s="30"/>
      <c r="H24" s="25">
        <v>1548</v>
      </c>
      <c r="I24" s="20">
        <v>0.20567059977484381</v>
      </c>
      <c r="J24" s="29">
        <v>1866.3780884514583</v>
      </c>
      <c r="K24" s="29">
        <v>2250.2371893098962</v>
      </c>
      <c r="L24" s="26">
        <v>2713.0448216709215</v>
      </c>
      <c r="M24" s="26"/>
      <c r="N24" s="26">
        <v>8109</v>
      </c>
      <c r="O24" s="21">
        <v>-4.1388380063038798E-4</v>
      </c>
      <c r="P24" s="26">
        <v>8105.6438162606883</v>
      </c>
      <c r="Q24" s="26">
        <v>8102.2890215914585</v>
      </c>
      <c r="R24" s="26">
        <v>8098.9356154173965</v>
      </c>
    </row>
    <row r="25" spans="1:18" ht="15.5" x14ac:dyDescent="0.35">
      <c r="A25" s="9" t="s">
        <v>180</v>
      </c>
      <c r="B25" s="28">
        <v>518</v>
      </c>
      <c r="C25" s="37">
        <v>-5.6105616309974793E-2</v>
      </c>
      <c r="D25" s="29">
        <v>488.93729075143307</v>
      </c>
      <c r="E25" s="29">
        <v>461.50516271689457</v>
      </c>
      <c r="F25" s="29">
        <v>435.61213113242798</v>
      </c>
      <c r="G25" s="30"/>
      <c r="H25" s="25">
        <v>287</v>
      </c>
      <c r="I25" s="20">
        <v>-2.155165217433036E-2</v>
      </c>
      <c r="J25" s="29">
        <v>280.81467582596719</v>
      </c>
      <c r="K25" s="29">
        <v>274.76265560711857</v>
      </c>
      <c r="L25" s="26">
        <v>268.8410664229786</v>
      </c>
      <c r="M25" s="26"/>
      <c r="N25" s="26">
        <v>1024</v>
      </c>
      <c r="O25" s="21">
        <v>3.0239512662348943E-2</v>
      </c>
      <c r="P25" s="26">
        <v>1054.9652609662453</v>
      </c>
      <c r="Q25" s="26">
        <v>1086.8668963335724</v>
      </c>
      <c r="R25" s="26">
        <v>1119.7332216075392</v>
      </c>
    </row>
    <row r="26" spans="1:18" ht="15.5" x14ac:dyDescent="0.35">
      <c r="A26" s="9" t="s">
        <v>181</v>
      </c>
      <c r="B26" s="28">
        <v>346</v>
      </c>
      <c r="C26" s="37">
        <v>-0.10994498132596893</v>
      </c>
      <c r="D26" s="29">
        <v>307.95903646121474</v>
      </c>
      <c r="E26" s="29">
        <v>274.10048594832307</v>
      </c>
      <c r="F26" s="29">
        <v>243.96451313929566</v>
      </c>
      <c r="G26" s="30"/>
      <c r="H26" s="25">
        <v>144</v>
      </c>
      <c r="I26" s="20">
        <v>1.0464015151515151</v>
      </c>
      <c r="J26" s="29">
        <v>294.68181818181819</v>
      </c>
      <c r="K26" s="29">
        <v>603.03731921487599</v>
      </c>
      <c r="L26" s="26">
        <v>1234.0564837342301</v>
      </c>
      <c r="M26" s="26"/>
      <c r="N26" s="26">
        <v>1928</v>
      </c>
      <c r="O26" s="21">
        <v>-1.9453558879661537E-2</v>
      </c>
      <c r="P26" s="26">
        <v>1890.4935384800126</v>
      </c>
      <c r="Q26" s="26">
        <v>1853.716711117572</v>
      </c>
      <c r="R26" s="26">
        <v>1817.6553239316338</v>
      </c>
    </row>
    <row r="27" spans="1:18" ht="15.5" x14ac:dyDescent="0.35">
      <c r="A27" s="9" t="s">
        <v>182</v>
      </c>
      <c r="B27" s="28">
        <v>9575</v>
      </c>
      <c r="C27" s="37">
        <v>-4.6978562633291032E-2</v>
      </c>
      <c r="D27" s="29">
        <v>9125.180262786238</v>
      </c>
      <c r="E27" s="29">
        <v>8696.4924102708628</v>
      </c>
      <c r="F27" s="29">
        <v>8287.9436968850132</v>
      </c>
      <c r="G27" s="30"/>
      <c r="H27" s="25">
        <v>1330</v>
      </c>
      <c r="I27" s="20">
        <v>7.1059583634159512E-2</v>
      </c>
      <c r="J27" s="29">
        <v>1424.5092462334321</v>
      </c>
      <c r="K27" s="29">
        <v>1525.73428015379</v>
      </c>
      <c r="L27" s="26">
        <v>1634.1523228378824</v>
      </c>
      <c r="M27" s="26"/>
      <c r="N27" s="26">
        <v>7236</v>
      </c>
      <c r="O27" s="21">
        <v>-3.9706319850998061E-2</v>
      </c>
      <c r="P27" s="26">
        <v>6948.6850695581779</v>
      </c>
      <c r="Q27" s="26">
        <v>6672.7783576424463</v>
      </c>
      <c r="R27" s="26">
        <v>6407.826885879078</v>
      </c>
    </row>
    <row r="28" spans="1:18" ht="15.5" x14ac:dyDescent="0.35">
      <c r="A28" s="9" t="s">
        <v>183</v>
      </c>
      <c r="B28" s="28">
        <v>48432</v>
      </c>
      <c r="C28" s="37">
        <v>-3.4684648879713233E-3</v>
      </c>
      <c r="D28" s="29">
        <v>48264.015308545771</v>
      </c>
      <c r="E28" s="29">
        <v>48096.61326609557</v>
      </c>
      <c r="F28" s="29">
        <v>47929.791851751783</v>
      </c>
      <c r="G28" s="30"/>
      <c r="H28" s="25">
        <v>7917</v>
      </c>
      <c r="I28" s="20">
        <v>3.2928572403722989E-2</v>
      </c>
      <c r="J28" s="29">
        <v>8177.6955077202747</v>
      </c>
      <c r="K28" s="29">
        <v>8446.9753463418419</v>
      </c>
      <c r="L28" s="26">
        <v>8725.1221856263219</v>
      </c>
      <c r="M28" s="26"/>
      <c r="N28" s="26">
        <v>45493</v>
      </c>
      <c r="O28" s="21">
        <v>-5.0345219543162624E-3</v>
      </c>
      <c r="P28" s="26">
        <v>45263.964492732288</v>
      </c>
      <c r="Q28" s="26">
        <v>45036.082069754237</v>
      </c>
      <c r="R28" s="26">
        <v>44809.346925837664</v>
      </c>
    </row>
    <row r="29" spans="1:18" ht="15.5" x14ac:dyDescent="0.35">
      <c r="A29" s="9" t="s">
        <v>184</v>
      </c>
      <c r="B29" s="28">
        <v>21048</v>
      </c>
      <c r="C29" s="37">
        <v>-4.5463341962661621E-2</v>
      </c>
      <c r="D29" s="29">
        <v>20091.087578369898</v>
      </c>
      <c r="E29" s="29">
        <v>19177.679593392684</v>
      </c>
      <c r="F29" s="29">
        <v>18305.798187987915</v>
      </c>
      <c r="G29" s="30"/>
      <c r="H29" s="25">
        <v>1900</v>
      </c>
      <c r="I29" s="20">
        <v>0.22089674932036818</v>
      </c>
      <c r="J29" s="29">
        <v>2319.7038237086995</v>
      </c>
      <c r="K29" s="29">
        <v>2832.1188577519797</v>
      </c>
      <c r="L29" s="26">
        <v>3457.724707118306</v>
      </c>
      <c r="M29" s="26"/>
      <c r="N29" s="26">
        <v>24492</v>
      </c>
      <c r="O29" s="21">
        <v>-2.7775351203210598E-2</v>
      </c>
      <c r="P29" s="26">
        <v>23811.726098330964</v>
      </c>
      <c r="Q29" s="26">
        <v>23150.347043195165</v>
      </c>
      <c r="R29" s="26">
        <v>22507.33802359421</v>
      </c>
    </row>
    <row r="30" spans="1:18" ht="15.5" x14ac:dyDescent="0.35">
      <c r="A30" s="9" t="s">
        <v>185</v>
      </c>
      <c r="B30" s="28">
        <v>872</v>
      </c>
      <c r="C30" s="37">
        <v>-0.11490139920187215</v>
      </c>
      <c r="D30" s="29">
        <v>771.80597989596754</v>
      </c>
      <c r="E30" s="29">
        <v>683.12439289354882</v>
      </c>
      <c r="F30" s="29">
        <v>604.63244432115061</v>
      </c>
      <c r="G30" s="30"/>
      <c r="H30" s="25">
        <v>451</v>
      </c>
      <c r="I30" s="20">
        <v>3.7586985705213294E-2</v>
      </c>
      <c r="J30" s="29">
        <v>467.95173055305122</v>
      </c>
      <c r="K30" s="29">
        <v>485.54062556007858</v>
      </c>
      <c r="L30" s="26">
        <v>503.79063411230561</v>
      </c>
      <c r="M30" s="26"/>
      <c r="N30" s="26">
        <v>1248</v>
      </c>
      <c r="O30" s="21">
        <v>-4.6200183876583735E-2</v>
      </c>
      <c r="P30" s="26">
        <v>1190.3421705220235</v>
      </c>
      <c r="Q30" s="26">
        <v>1135.3481433678542</v>
      </c>
      <c r="R30" s="26">
        <v>1082.8948503803213</v>
      </c>
    </row>
    <row r="31" spans="1:18" ht="15.5" x14ac:dyDescent="0.35">
      <c r="A31" s="9" t="s">
        <v>186</v>
      </c>
      <c r="B31" s="28">
        <v>1358</v>
      </c>
      <c r="C31" s="37">
        <v>-2.3561273770214931E-2</v>
      </c>
      <c r="D31" s="29">
        <v>1326.0037902200481</v>
      </c>
      <c r="E31" s="29">
        <v>1294.761451898331</v>
      </c>
      <c r="F31" s="29">
        <v>1264.2552228630334</v>
      </c>
      <c r="G31" s="30"/>
      <c r="H31" s="25">
        <v>98</v>
      </c>
      <c r="I31" s="20">
        <v>7.7664460951160585E-2</v>
      </c>
      <c r="J31" s="29">
        <v>105.61111717321373</v>
      </c>
      <c r="K31" s="29">
        <v>113.81334765892123</v>
      </c>
      <c r="L31" s="26">
        <v>122.65259995389837</v>
      </c>
      <c r="M31" s="26"/>
      <c r="N31" s="26">
        <v>1594</v>
      </c>
      <c r="O31" s="21">
        <v>4.3107060803085372E-2</v>
      </c>
      <c r="P31" s="26">
        <v>1662.7126549201182</v>
      </c>
      <c r="Q31" s="26">
        <v>1734.3873104338195</v>
      </c>
      <c r="R31" s="26">
        <v>1809.1516496807901</v>
      </c>
    </row>
    <row r="32" spans="1:18" ht="15.5" x14ac:dyDescent="0.35">
      <c r="A32" s="9" t="s">
        <v>187</v>
      </c>
      <c r="B32" s="28">
        <v>4998</v>
      </c>
      <c r="C32" s="37">
        <v>-5.3380044917969237E-2</v>
      </c>
      <c r="D32" s="29">
        <v>4731.2065354999895</v>
      </c>
      <c r="E32" s="29">
        <v>4478.6545181188103</v>
      </c>
      <c r="F32" s="29">
        <v>4239.5837387695628</v>
      </c>
      <c r="G32" s="30"/>
      <c r="H32" s="25">
        <v>582</v>
      </c>
      <c r="I32" s="20">
        <v>0.10948955753551148</v>
      </c>
      <c r="J32" s="29">
        <v>645.72292248566771</v>
      </c>
      <c r="K32" s="29">
        <v>716.42283955916082</v>
      </c>
      <c r="L32" s="26">
        <v>794.86365927082807</v>
      </c>
      <c r="M32" s="26"/>
      <c r="N32" s="26">
        <v>2976</v>
      </c>
      <c r="O32" s="21">
        <v>-1.9777635658503635E-2</v>
      </c>
      <c r="P32" s="26">
        <v>2917.1417562802931</v>
      </c>
      <c r="Q32" s="26">
        <v>2859.4475894603738</v>
      </c>
      <c r="R32" s="26">
        <v>2802.8944768514402</v>
      </c>
    </row>
    <row r="33" spans="1:18" ht="15.5" x14ac:dyDescent="0.35">
      <c r="A33" s="9" t="s">
        <v>188</v>
      </c>
      <c r="B33" s="28">
        <v>4577</v>
      </c>
      <c r="C33" s="37">
        <v>0.25507861874197246</v>
      </c>
      <c r="D33" s="29">
        <v>5744.494837982008</v>
      </c>
      <c r="E33" s="29">
        <v>7209.7926466248491</v>
      </c>
      <c r="F33" s="29">
        <v>9048.856596341946</v>
      </c>
      <c r="G33" s="30"/>
      <c r="H33" s="25">
        <v>203</v>
      </c>
      <c r="I33" s="20">
        <v>7.8580417087011356E-3</v>
      </c>
      <c r="J33" s="29">
        <v>204.59518246686633</v>
      </c>
      <c r="K33" s="29">
        <v>206.20289994409029</v>
      </c>
      <c r="L33" s="26">
        <v>207.82325093230608</v>
      </c>
      <c r="M33" s="26"/>
      <c r="N33" s="26">
        <v>3947</v>
      </c>
      <c r="O33" s="21">
        <v>8.0457025116099118E-2</v>
      </c>
      <c r="P33" s="26">
        <v>4264.5638781332436</v>
      </c>
      <c r="Q33" s="26">
        <v>4607.6780011854198</v>
      </c>
      <c r="R33" s="26">
        <v>4978.398065853693</v>
      </c>
    </row>
    <row r="34" spans="1:18" ht="15.5" x14ac:dyDescent="0.35">
      <c r="A34" s="9" t="s">
        <v>189</v>
      </c>
      <c r="B34" s="28">
        <v>1699</v>
      </c>
      <c r="C34" s="37">
        <v>-2.7635176739420063E-4</v>
      </c>
      <c r="D34" s="29">
        <v>1698.5304783471972</v>
      </c>
      <c r="E34" s="29">
        <v>1698.0610864475332</v>
      </c>
      <c r="F34" s="29">
        <v>1697.5918242651501</v>
      </c>
      <c r="G34" s="30"/>
      <c r="H34" s="25">
        <v>326</v>
      </c>
      <c r="I34" s="20">
        <v>0.11779510119535089</v>
      </c>
      <c r="J34" s="29">
        <v>364.40120298968441</v>
      </c>
      <c r="K34" s="29">
        <v>407.32587957156187</v>
      </c>
      <c r="L34" s="26">
        <v>455.30687277517927</v>
      </c>
      <c r="M34" s="26"/>
      <c r="N34" s="26">
        <v>1414</v>
      </c>
      <c r="O34" s="21">
        <v>-1.9570244233914048E-2</v>
      </c>
      <c r="P34" s="26">
        <v>1386.3276746532456</v>
      </c>
      <c r="Q34" s="26">
        <v>1359.1969034720473</v>
      </c>
      <c r="R34" s="26">
        <v>1332.5970881091196</v>
      </c>
    </row>
    <row r="35" spans="1:18" ht="15.5" x14ac:dyDescent="0.35">
      <c r="A35" s="9" t="s">
        <v>190</v>
      </c>
      <c r="B35" s="28">
        <v>11423</v>
      </c>
      <c r="C35" s="37">
        <v>3.2178866630108674E-2</v>
      </c>
      <c r="D35" s="29">
        <v>11790.57919351573</v>
      </c>
      <c r="E35" s="29">
        <v>12169.986668875606</v>
      </c>
      <c r="F35" s="29">
        <v>12561.603046783554</v>
      </c>
      <c r="G35" s="30"/>
      <c r="H35" s="25">
        <v>1510</v>
      </c>
      <c r="I35" s="20">
        <v>9.8817920578961993E-2</v>
      </c>
      <c r="J35" s="29">
        <v>1659.2150600742325</v>
      </c>
      <c r="K35" s="29">
        <v>1823.1752421040655</v>
      </c>
      <c r="L35" s="26">
        <v>2003.3376283798348</v>
      </c>
      <c r="M35" s="26"/>
      <c r="N35" s="26">
        <v>7997</v>
      </c>
      <c r="O35" s="21">
        <v>4.5295021767630825E-2</v>
      </c>
      <c r="P35" s="26">
        <v>8359.2242890757443</v>
      </c>
      <c r="Q35" s="26">
        <v>8737.8555352099393</v>
      </c>
      <c r="R35" s="26">
        <v>9133.636891879687</v>
      </c>
    </row>
    <row r="36" spans="1:18" ht="15.5" x14ac:dyDescent="0.35">
      <c r="A36" s="9" t="s">
        <v>191</v>
      </c>
      <c r="B36" s="28">
        <v>6550</v>
      </c>
      <c r="C36" s="37">
        <v>3.1082308858527273E-2</v>
      </c>
      <c r="D36" s="29">
        <v>6753.5891230233537</v>
      </c>
      <c r="E36" s="29">
        <v>6963.5062660487556</v>
      </c>
      <c r="F36" s="29">
        <v>7179.9481185483728</v>
      </c>
      <c r="G36" s="30"/>
      <c r="H36" s="25">
        <v>541</v>
      </c>
      <c r="I36" s="20">
        <v>0.2656869860939382</v>
      </c>
      <c r="J36" s="29">
        <v>684.73665947682059</v>
      </c>
      <c r="K36" s="29">
        <v>866.66227880124825</v>
      </c>
      <c r="L36" s="26">
        <v>1096.9231676172562</v>
      </c>
      <c r="M36" s="26"/>
      <c r="N36" s="26">
        <v>5486</v>
      </c>
      <c r="O36" s="21">
        <v>2.2011695250290474E-2</v>
      </c>
      <c r="P36" s="26">
        <v>5606.7561601430934</v>
      </c>
      <c r="Q36" s="26">
        <v>5730.1703680828523</v>
      </c>
      <c r="R36" s="26">
        <v>5856.301131957337</v>
      </c>
    </row>
    <row r="37" spans="1:18" ht="15.5" x14ac:dyDescent="0.35">
      <c r="A37" s="9" t="s">
        <v>192</v>
      </c>
      <c r="B37" s="28">
        <v>1455</v>
      </c>
      <c r="C37" s="37">
        <v>-1.9795409980320301E-2</v>
      </c>
      <c r="D37" s="29">
        <v>1426.1976784786341</v>
      </c>
      <c r="E37" s="29">
        <v>1397.9655107201686</v>
      </c>
      <c r="F37" s="29">
        <v>1370.2922102971152</v>
      </c>
      <c r="G37" s="30"/>
      <c r="H37" s="25">
        <v>341</v>
      </c>
      <c r="I37" s="20">
        <v>0.18226840534570621</v>
      </c>
      <c r="J37" s="29">
        <v>403.15352622288583</v>
      </c>
      <c r="K37" s="29">
        <v>476.63567655702957</v>
      </c>
      <c r="L37" s="26">
        <v>563.51130125395116</v>
      </c>
      <c r="M37" s="26"/>
      <c r="N37" s="26">
        <v>1384</v>
      </c>
      <c r="O37" s="21">
        <v>-2.1762054941219188E-3</v>
      </c>
      <c r="P37" s="26">
        <v>1380.9881315961352</v>
      </c>
      <c r="Q37" s="26">
        <v>1377.9828176368385</v>
      </c>
      <c r="R37" s="26">
        <v>1374.9840438582917</v>
      </c>
    </row>
    <row r="38" spans="1:18" ht="15.5" x14ac:dyDescent="0.35">
      <c r="A38" s="9" t="s">
        <v>193</v>
      </c>
      <c r="B38" s="28">
        <v>11620</v>
      </c>
      <c r="C38" s="37">
        <v>3.0135383096428693E-2</v>
      </c>
      <c r="D38" s="29">
        <v>11970.1731515805</v>
      </c>
      <c r="E38" s="29">
        <v>12330.898905233962</v>
      </c>
      <c r="F38" s="29">
        <v>12702.49526766652</v>
      </c>
      <c r="G38" s="30"/>
      <c r="H38" s="25">
        <v>2189</v>
      </c>
      <c r="I38" s="20">
        <v>8.6196445754742335E-3</v>
      </c>
      <c r="J38" s="29">
        <v>2207.8684019757134</v>
      </c>
      <c r="K38" s="29">
        <v>2226.8994428701644</v>
      </c>
      <c r="L38" s="26">
        <v>2246.0945245730268</v>
      </c>
      <c r="M38" s="26"/>
      <c r="N38" s="26">
        <v>8170</v>
      </c>
      <c r="O38" s="21">
        <v>4.6868938356911929E-2</v>
      </c>
      <c r="P38" s="26">
        <v>8552.9192263759705</v>
      </c>
      <c r="Q38" s="26">
        <v>8953.7854703686316</v>
      </c>
      <c r="R38" s="26">
        <v>9373.4398896403527</v>
      </c>
    </row>
    <row r="39" spans="1:18" ht="15.5" x14ac:dyDescent="0.35">
      <c r="A39" s="9" t="s">
        <v>194</v>
      </c>
      <c r="B39" s="28">
        <v>1616</v>
      </c>
      <c r="C39" s="37">
        <v>6.7090199256071067E-3</v>
      </c>
      <c r="D39" s="29">
        <v>1626.841776199781</v>
      </c>
      <c r="E39" s="29">
        <v>1637.7562900921153</v>
      </c>
      <c r="F39" s="29">
        <v>1648.7440296756315</v>
      </c>
      <c r="G39" s="30"/>
      <c r="H39" s="25">
        <v>151</v>
      </c>
      <c r="I39" s="20">
        <v>0.25681763617516257</v>
      </c>
      <c r="J39" s="29">
        <v>189.77946306244957</v>
      </c>
      <c r="K39" s="29">
        <v>238.51817616073944</v>
      </c>
      <c r="L39" s="26">
        <v>299.77385034715155</v>
      </c>
      <c r="M39" s="26"/>
      <c r="N39" s="26">
        <v>1370</v>
      </c>
      <c r="O39" s="21">
        <v>8.3250998749869517E-3</v>
      </c>
      <c r="P39" s="26">
        <v>1381.4053868287319</v>
      </c>
      <c r="Q39" s="26">
        <v>1392.9057246419261</v>
      </c>
      <c r="R39" s="26">
        <v>1404.5018039160111</v>
      </c>
    </row>
    <row r="40" spans="1:18" ht="15.5" x14ac:dyDescent="0.35">
      <c r="A40" s="9" t="s">
        <v>195</v>
      </c>
      <c r="B40" s="28">
        <v>264</v>
      </c>
      <c r="C40" s="37">
        <v>-9.8792065632821641E-2</v>
      </c>
      <c r="D40" s="29">
        <v>237.9188946729351</v>
      </c>
      <c r="E40" s="29">
        <v>214.41439561511811</v>
      </c>
      <c r="F40" s="29">
        <v>193.23195457088758</v>
      </c>
      <c r="G40" s="30"/>
      <c r="H40" s="25">
        <v>24</v>
      </c>
      <c r="I40" s="20">
        <v>8.611111111111111E-2</v>
      </c>
      <c r="J40" s="29">
        <v>26.066666666666663</v>
      </c>
      <c r="K40" s="29">
        <v>28.311296296296291</v>
      </c>
      <c r="L40" s="26">
        <v>30.749213477366247</v>
      </c>
      <c r="M40" s="26"/>
      <c r="N40" s="26">
        <v>2539</v>
      </c>
      <c r="O40" s="21">
        <v>0.14766494746312503</v>
      </c>
      <c r="P40" s="26">
        <v>2913.9213016088747</v>
      </c>
      <c r="Q40" s="26">
        <v>3344.2053375226301</v>
      </c>
      <c r="R40" s="26">
        <v>3838.0272429938118</v>
      </c>
    </row>
    <row r="41" spans="1:18" ht="15.5" x14ac:dyDescent="0.35">
      <c r="A41" s="9" t="s">
        <v>196</v>
      </c>
      <c r="B41" s="28">
        <v>4665</v>
      </c>
      <c r="C41" s="37">
        <v>3.4717543370765672E-2</v>
      </c>
      <c r="D41" s="29">
        <v>4826.9573398246212</v>
      </c>
      <c r="E41" s="29">
        <v>4994.5374406188175</v>
      </c>
      <c r="F41" s="29">
        <v>5167.9355108304144</v>
      </c>
      <c r="G41" s="30"/>
      <c r="H41" s="25">
        <v>685</v>
      </c>
      <c r="I41" s="20">
        <v>-2.1124657392970203E-3</v>
      </c>
      <c r="J41" s="29">
        <v>683.55296096858149</v>
      </c>
      <c r="K41" s="29">
        <v>682.10897875754029</v>
      </c>
      <c r="L41" s="26">
        <v>680.66804690944809</v>
      </c>
      <c r="M41" s="26"/>
      <c r="N41" s="26">
        <v>4481</v>
      </c>
      <c r="O41" s="21">
        <v>2.5361647150099365E-2</v>
      </c>
      <c r="P41" s="26">
        <v>4594.6455408795955</v>
      </c>
      <c r="Q41" s="26">
        <v>4711.1733198671618</v>
      </c>
      <c r="R41" s="26">
        <v>4830.6564352685955</v>
      </c>
    </row>
    <row r="42" spans="1:18" ht="15.5" x14ac:dyDescent="0.35">
      <c r="A42" s="9" t="s">
        <v>197</v>
      </c>
      <c r="B42" s="28">
        <v>9505</v>
      </c>
      <c r="C42" s="37">
        <v>1.1359889549822765E-2</v>
      </c>
      <c r="D42" s="29">
        <v>9612.9757501710665</v>
      </c>
      <c r="E42" s="29">
        <v>9722.1780929381348</v>
      </c>
      <c r="F42" s="29">
        <v>9832.6209622576189</v>
      </c>
      <c r="G42" s="30"/>
      <c r="H42" s="25">
        <v>1114</v>
      </c>
      <c r="I42" s="20">
        <v>9.7474493785958183E-2</v>
      </c>
      <c r="J42" s="29">
        <v>1222.5865860775575</v>
      </c>
      <c r="K42" s="29">
        <v>1341.7575946649702</v>
      </c>
      <c r="L42" s="26">
        <v>1472.544736988403</v>
      </c>
      <c r="M42" s="26"/>
      <c r="N42" s="26">
        <v>6419</v>
      </c>
      <c r="O42" s="21">
        <v>0.11666893177230456</v>
      </c>
      <c r="P42" s="26">
        <v>7167.8978730464232</v>
      </c>
      <c r="Q42" s="26">
        <v>8004.1688609477242</v>
      </c>
      <c r="R42" s="26">
        <v>8938.0066916796404</v>
      </c>
    </row>
    <row r="43" spans="1:18" ht="15.5" x14ac:dyDescent="0.35">
      <c r="A43" s="9" t="s">
        <v>198</v>
      </c>
      <c r="B43" s="28">
        <v>7672</v>
      </c>
      <c r="C43" s="37">
        <v>2.3690554551885089E-2</v>
      </c>
      <c r="D43" s="29">
        <v>7853.7539345220621</v>
      </c>
      <c r="E43" s="29">
        <v>8039.8137205449393</v>
      </c>
      <c r="F43" s="29">
        <v>8230.2813660785032</v>
      </c>
      <c r="G43" s="30"/>
      <c r="H43" s="25">
        <v>510</v>
      </c>
      <c r="I43" s="20">
        <v>0.28461094085612626</v>
      </c>
      <c r="J43" s="29">
        <v>655.15157983662436</v>
      </c>
      <c r="K43" s="29">
        <v>841.61488737730349</v>
      </c>
      <c r="L43" s="26">
        <v>1081.1476923122805</v>
      </c>
      <c r="M43" s="26"/>
      <c r="N43" s="26">
        <v>8152</v>
      </c>
      <c r="O43" s="21">
        <v>-2.3399407608266264E-2</v>
      </c>
      <c r="P43" s="26">
        <v>7961.2480291774127</v>
      </c>
      <c r="Q43" s="26">
        <v>7774.9595414721834</v>
      </c>
      <c r="R43" s="26">
        <v>7593.0300940234965</v>
      </c>
    </row>
    <row r="44" spans="1:18" ht="15.5" x14ac:dyDescent="0.35">
      <c r="A44" s="9" t="s">
        <v>199</v>
      </c>
      <c r="B44" s="28">
        <v>5388</v>
      </c>
      <c r="C44" s="37">
        <v>1.7885734164375711E-2</v>
      </c>
      <c r="D44" s="29">
        <v>5484.3683356776564</v>
      </c>
      <c r="E44" s="29">
        <v>5582.4602897891064</v>
      </c>
      <c r="F44" s="29">
        <v>5682.3066905154583</v>
      </c>
      <c r="G44" s="30"/>
      <c r="H44" s="25">
        <v>2360</v>
      </c>
      <c r="I44" s="20">
        <v>4.7025342076009502E-2</v>
      </c>
      <c r="J44" s="29">
        <v>2470.9798072993822</v>
      </c>
      <c r="K44" s="29">
        <v>2587.1784780005473</v>
      </c>
      <c r="L44" s="26">
        <v>2708.8414309402124</v>
      </c>
      <c r="M44" s="26"/>
      <c r="N44" s="26">
        <v>5931</v>
      </c>
      <c r="O44" s="21">
        <v>1.178548833595643E-2</v>
      </c>
      <c r="P44" s="26">
        <v>6000.8997313205582</v>
      </c>
      <c r="Q44" s="26">
        <v>6071.6232651092814</v>
      </c>
      <c r="R44" s="26">
        <v>6143.1803102805488</v>
      </c>
    </row>
    <row r="45" spans="1:18" ht="15.5" x14ac:dyDescent="0.35">
      <c r="A45" s="9" t="s">
        <v>200</v>
      </c>
      <c r="B45" s="28">
        <v>2138</v>
      </c>
      <c r="C45" s="37">
        <v>-7.7181568124957439E-2</v>
      </c>
      <c r="D45" s="29">
        <v>1972.985807348841</v>
      </c>
      <c r="E45" s="29">
        <v>1820.7076688493723</v>
      </c>
      <c r="F45" s="29">
        <v>1680.1825958704419</v>
      </c>
      <c r="G45" s="30"/>
      <c r="H45" s="25">
        <v>272</v>
      </c>
      <c r="I45" s="20">
        <v>0.19667351837545521</v>
      </c>
      <c r="J45" s="29">
        <v>325.49519699812379</v>
      </c>
      <c r="K45" s="29">
        <v>389.51148260605669</v>
      </c>
      <c r="L45" s="26">
        <v>466.11807633782973</v>
      </c>
      <c r="M45" s="26"/>
      <c r="N45" s="26">
        <v>1851</v>
      </c>
      <c r="O45" s="21">
        <v>-8.3025134878866508E-2</v>
      </c>
      <c r="P45" s="26">
        <v>1697.3204753392181</v>
      </c>
      <c r="Q45" s="26">
        <v>1556.4002139415177</v>
      </c>
      <c r="R45" s="26">
        <v>1427.1798762535263</v>
      </c>
    </row>
    <row r="46" spans="1:18" ht="15.5" x14ac:dyDescent="0.35">
      <c r="A46" s="9" t="s">
        <v>201</v>
      </c>
      <c r="B46" s="28">
        <v>5204</v>
      </c>
      <c r="C46" s="37">
        <v>-1.5686873411713754E-2</v>
      </c>
      <c r="D46" s="29">
        <v>5122.3655107654422</v>
      </c>
      <c r="E46" s="29">
        <v>5042.0116114295361</v>
      </c>
      <c r="F46" s="29">
        <v>4962.91821354065</v>
      </c>
      <c r="G46" s="30"/>
      <c r="H46" s="25">
        <v>262</v>
      </c>
      <c r="I46" s="20">
        <v>-0.2239281938645962</v>
      </c>
      <c r="J46" s="29">
        <v>203.33081320747581</v>
      </c>
      <c r="K46" s="29">
        <v>157.79931144890617</v>
      </c>
      <c r="L46" s="26">
        <v>122.46359664307572</v>
      </c>
      <c r="M46" s="26"/>
      <c r="N46" s="26">
        <v>3641</v>
      </c>
      <c r="O46" s="21">
        <v>4.3143087255008171E-2</v>
      </c>
      <c r="P46" s="26">
        <v>3798.083980695485</v>
      </c>
      <c r="Q46" s="26">
        <v>3961.9450492764795</v>
      </c>
      <c r="R46" s="26">
        <v>4132.875590236963</v>
      </c>
    </row>
    <row r="47" spans="1:18" ht="15.5" x14ac:dyDescent="0.35">
      <c r="A47" s="9" t="s">
        <v>202</v>
      </c>
      <c r="B47" s="28">
        <v>13993</v>
      </c>
      <c r="C47" s="37">
        <v>-2.1103345943715322E-3</v>
      </c>
      <c r="D47" s="29">
        <v>13963.47008802096</v>
      </c>
      <c r="E47" s="29">
        <v>13934.002494036738</v>
      </c>
      <c r="F47" s="29">
        <v>13904.597086535514</v>
      </c>
      <c r="G47" s="30"/>
      <c r="H47" s="25">
        <v>1457</v>
      </c>
      <c r="I47" s="20">
        <v>0.11852754129236431</v>
      </c>
      <c r="J47" s="29">
        <v>1629.6946276629749</v>
      </c>
      <c r="K47" s="29">
        <v>1822.8583249372425</v>
      </c>
      <c r="L47" s="26">
        <v>2038.9172403163716</v>
      </c>
      <c r="M47" s="26"/>
      <c r="N47" s="26">
        <v>9406</v>
      </c>
      <c r="O47" s="21">
        <v>2.450950548311932E-2</v>
      </c>
      <c r="P47" s="26">
        <v>9636.5364085742203</v>
      </c>
      <c r="Q47" s="26">
        <v>9872.7231505184482</v>
      </c>
      <c r="R47" s="26">
        <v>10114.698712709398</v>
      </c>
    </row>
    <row r="48" spans="1:18" ht="15.5" x14ac:dyDescent="0.35">
      <c r="A48" s="9" t="s">
        <v>203</v>
      </c>
      <c r="B48" s="28">
        <v>6126</v>
      </c>
      <c r="C48" s="37">
        <v>2.055829950293464E-2</v>
      </c>
      <c r="D48" s="29">
        <v>6251.9401427549783</v>
      </c>
      <c r="E48" s="29">
        <v>6380.4694006841555</v>
      </c>
      <c r="F48" s="29">
        <v>6511.6410015927313</v>
      </c>
      <c r="G48" s="30"/>
      <c r="H48" s="25">
        <v>959</v>
      </c>
      <c r="I48" s="20">
        <v>0.30178903276778302</v>
      </c>
      <c r="J48" s="29">
        <v>1248.4156824243039</v>
      </c>
      <c r="K48" s="29">
        <v>1625.1738437152662</v>
      </c>
      <c r="L48" s="26">
        <v>2115.6334860895968</v>
      </c>
      <c r="M48" s="26"/>
      <c r="N48" s="26">
        <v>8183</v>
      </c>
      <c r="O48" s="21">
        <v>9.6694484367412376E-2</v>
      </c>
      <c r="P48" s="26">
        <v>8974.2509655785361</v>
      </c>
      <c r="Q48" s="26">
        <v>9842.0115352789053</v>
      </c>
      <c r="R48" s="26">
        <v>10793.679765820825</v>
      </c>
    </row>
    <row r="49" spans="1:18" ht="15.5" x14ac:dyDescent="0.35">
      <c r="A49" s="9" t="s">
        <v>204</v>
      </c>
      <c r="B49" s="28">
        <v>14142</v>
      </c>
      <c r="C49" s="37">
        <v>7.1295905173358594E-4</v>
      </c>
      <c r="D49" s="29">
        <v>14152.082666909617</v>
      </c>
      <c r="E49" s="29">
        <v>14162.172522347873</v>
      </c>
      <c r="F49" s="29">
        <v>14172.269571439894</v>
      </c>
      <c r="G49" s="30"/>
      <c r="H49" s="25">
        <v>1684</v>
      </c>
      <c r="I49" s="20">
        <v>0.10250141010561575</v>
      </c>
      <c r="J49" s="29">
        <v>1856.6123746178571</v>
      </c>
      <c r="K49" s="29">
        <v>2046.9177610357233</v>
      </c>
      <c r="L49" s="26">
        <v>2256.7297179121151</v>
      </c>
      <c r="M49" s="26"/>
      <c r="N49" s="26">
        <v>14391</v>
      </c>
      <c r="O49" s="21">
        <v>1.7038725942156874E-2</v>
      </c>
      <c r="P49" s="26">
        <v>14636.20430503358</v>
      </c>
      <c r="Q49" s="26">
        <v>14885.586579020464</v>
      </c>
      <c r="R49" s="26">
        <v>15139.218009228643</v>
      </c>
    </row>
    <row r="50" spans="1:18" ht="15.5" x14ac:dyDescent="0.35">
      <c r="A50" s="9" t="s">
        <v>205</v>
      </c>
      <c r="B50" s="28">
        <v>4536</v>
      </c>
      <c r="C50" s="37">
        <v>-0.1061372897686261</v>
      </c>
      <c r="D50" s="29">
        <v>4054.5612536095118</v>
      </c>
      <c r="E50" s="29">
        <v>3624.2211109505151</v>
      </c>
      <c r="F50" s="29">
        <v>3239.5561047119882</v>
      </c>
      <c r="G50" s="30"/>
      <c r="H50" s="25">
        <v>652</v>
      </c>
      <c r="I50" s="20">
        <v>-2.5877686420528345E-2</v>
      </c>
      <c r="J50" s="29">
        <v>635.12774845381557</v>
      </c>
      <c r="K50" s="29">
        <v>618.69211174235147</v>
      </c>
      <c r="L50" s="26">
        <v>602.68179128382837</v>
      </c>
      <c r="M50" s="26"/>
      <c r="N50" s="26">
        <v>8982</v>
      </c>
      <c r="O50" s="21">
        <v>-2.2493011621614302E-2</v>
      </c>
      <c r="P50" s="26">
        <v>8779.9677696146609</v>
      </c>
      <c r="Q50" s="26">
        <v>8582.4798525353199</v>
      </c>
      <c r="R50" s="26">
        <v>8389.4340334699718</v>
      </c>
    </row>
    <row r="51" spans="1:18" ht="15.5" x14ac:dyDescent="0.35">
      <c r="A51" s="9" t="s">
        <v>206</v>
      </c>
      <c r="B51" s="28">
        <v>6649</v>
      </c>
      <c r="C51" s="37">
        <v>-3.565979915235671E-2</v>
      </c>
      <c r="D51" s="29">
        <v>6411.8979954359802</v>
      </c>
      <c r="E51" s="29">
        <v>6183.251000733334</v>
      </c>
      <c r="F51" s="29">
        <v>5962.7575119385747</v>
      </c>
      <c r="G51" s="30"/>
      <c r="H51" s="25">
        <v>707</v>
      </c>
      <c r="I51" s="20">
        <v>0.10590193526289901</v>
      </c>
      <c r="J51" s="29">
        <v>781.87266823086952</v>
      </c>
      <c r="K51" s="29">
        <v>864.67449692568516</v>
      </c>
      <c r="L51" s="26">
        <v>956.24519952258879</v>
      </c>
      <c r="M51" s="26"/>
      <c r="N51" s="26">
        <v>6846</v>
      </c>
      <c r="O51" s="21">
        <v>-7.989643820541948E-3</v>
      </c>
      <c r="P51" s="26">
        <v>6791.3028984045704</v>
      </c>
      <c r="Q51" s="26">
        <v>6737.0428071689039</v>
      </c>
      <c r="R51" s="26">
        <v>6683.2162347358808</v>
      </c>
    </row>
    <row r="52" spans="1:18" ht="15.5" x14ac:dyDescent="0.35">
      <c r="A52" s="9" t="s">
        <v>207</v>
      </c>
      <c r="B52" s="28">
        <v>4752</v>
      </c>
      <c r="C52" s="37">
        <v>-3.5682103549143897E-2</v>
      </c>
      <c r="D52" s="29">
        <v>4582.438643934468</v>
      </c>
      <c r="E52" s="29">
        <v>4418.9275937339999</v>
      </c>
      <c r="F52" s="29">
        <v>4261.2509617582136</v>
      </c>
      <c r="G52" s="30"/>
      <c r="H52" s="25">
        <v>735</v>
      </c>
      <c r="I52" s="20">
        <v>-6.5772452149552296E-3</v>
      </c>
      <c r="J52" s="29">
        <v>730.16572476700787</v>
      </c>
      <c r="K52" s="29">
        <v>725.36324574765968</v>
      </c>
      <c r="L52" s="26">
        <v>720.59235381046142</v>
      </c>
      <c r="M52" s="26"/>
      <c r="N52" s="26">
        <v>4837</v>
      </c>
      <c r="O52" s="21">
        <v>-4.1157240228630945E-2</v>
      </c>
      <c r="P52" s="26">
        <v>4637.9224290141119</v>
      </c>
      <c r="Q52" s="26">
        <v>4447.0383414414227</v>
      </c>
      <c r="R52" s="26">
        <v>4264.0105161167858</v>
      </c>
    </row>
    <row r="53" spans="1:18" ht="15.5" x14ac:dyDescent="0.35">
      <c r="A53" s="9" t="s">
        <v>208</v>
      </c>
      <c r="B53" s="28">
        <v>2379</v>
      </c>
      <c r="C53" s="37">
        <v>3.4216529539057627E-2</v>
      </c>
      <c r="D53" s="29">
        <v>2460.4011237734185</v>
      </c>
      <c r="E53" s="29">
        <v>2544.5875115029426</v>
      </c>
      <c r="F53" s="29">
        <v>2631.6544652550006</v>
      </c>
      <c r="G53" s="30"/>
      <c r="H53" s="25">
        <v>289</v>
      </c>
      <c r="I53" s="20">
        <v>6.4095703594380105E-2</v>
      </c>
      <c r="J53" s="29">
        <v>307.52365833877587</v>
      </c>
      <c r="K53" s="29">
        <v>327.23460359191745</v>
      </c>
      <c r="L53" s="26">
        <v>348.20893574956943</v>
      </c>
      <c r="M53" s="26"/>
      <c r="N53" s="26">
        <v>2224</v>
      </c>
      <c r="O53" s="21">
        <v>-3.3573449715968165E-2</v>
      </c>
      <c r="P53" s="26">
        <v>2149.3326478316867</v>
      </c>
      <c r="Q53" s="26">
        <v>2077.172136256821</v>
      </c>
      <c r="R53" s="26">
        <v>2007.4343019887924</v>
      </c>
    </row>
    <row r="54" spans="1:18" ht="15.5" x14ac:dyDescent="0.35">
      <c r="A54" s="9" t="s">
        <v>209</v>
      </c>
      <c r="B54" s="28">
        <v>3885</v>
      </c>
      <c r="C54" s="37">
        <v>-2.4917410503456659E-2</v>
      </c>
      <c r="D54" s="29">
        <v>3788.195860194071</v>
      </c>
      <c r="E54" s="29">
        <v>3693.8038288781204</v>
      </c>
      <c r="F54" s="29">
        <v>3601.7638025547244</v>
      </c>
      <c r="G54" s="30"/>
      <c r="H54" s="25">
        <v>824</v>
      </c>
      <c r="I54" s="20">
        <v>6.1043387363280022E-2</v>
      </c>
      <c r="J54" s="29">
        <v>874.29975118734274</v>
      </c>
      <c r="K54" s="29">
        <v>927.66996957069114</v>
      </c>
      <c r="L54" s="26">
        <v>984.29808686847707</v>
      </c>
      <c r="M54" s="26"/>
      <c r="N54" s="26">
        <v>5135</v>
      </c>
      <c r="O54" s="21">
        <v>-5.7253926751018661E-2</v>
      </c>
      <c r="P54" s="26">
        <v>4841.0010861335186</v>
      </c>
      <c r="Q54" s="26">
        <v>4563.8347645464282</v>
      </c>
      <c r="R54" s="26">
        <v>4302.5373032333346</v>
      </c>
    </row>
    <row r="55" spans="1:18" ht="15.5" x14ac:dyDescent="0.35">
      <c r="A55" s="9" t="s">
        <v>210</v>
      </c>
      <c r="B55" s="28">
        <v>4189</v>
      </c>
      <c r="C55" s="37">
        <v>4.5094388051178933E-4</v>
      </c>
      <c r="D55" s="29">
        <v>4190.8890039154639</v>
      </c>
      <c r="E55" s="29">
        <v>4192.7788596656837</v>
      </c>
      <c r="F55" s="29">
        <v>4194.669567634789</v>
      </c>
      <c r="G55" s="30"/>
      <c r="H55" s="25">
        <v>507</v>
      </c>
      <c r="I55" s="20">
        <v>-3.0380254692419145E-2</v>
      </c>
      <c r="J55" s="29">
        <v>491.59721087094351</v>
      </c>
      <c r="K55" s="29">
        <v>476.66236239860137</v>
      </c>
      <c r="L55" s="26">
        <v>462.1812384266417</v>
      </c>
      <c r="M55" s="26"/>
      <c r="N55" s="26">
        <v>3947</v>
      </c>
      <c r="O55" s="21">
        <v>-2.5318079809063733E-2</v>
      </c>
      <c r="P55" s="26">
        <v>3847.0695389936254</v>
      </c>
      <c r="Q55" s="26">
        <v>3749.6691253743666</v>
      </c>
      <c r="R55" s="26">
        <v>3654.7347032005559</v>
      </c>
    </row>
    <row r="56" spans="1:18" ht="15.5" x14ac:dyDescent="0.35">
      <c r="A56" s="9" t="s">
        <v>211</v>
      </c>
      <c r="B56" s="28">
        <v>4714</v>
      </c>
      <c r="C56" s="37">
        <v>6.0336748496454359E-2</v>
      </c>
      <c r="D56" s="29">
        <v>4998.4274324122853</v>
      </c>
      <c r="E56" s="29">
        <v>5300.0162912795231</v>
      </c>
      <c r="F56" s="29">
        <v>5619.8020412735659</v>
      </c>
      <c r="G56" s="30"/>
      <c r="H56" s="25">
        <v>663</v>
      </c>
      <c r="I56" s="20">
        <v>0.1436426845414871</v>
      </c>
      <c r="J56" s="29">
        <v>758.235099851006</v>
      </c>
      <c r="K56" s="29">
        <v>867.15002510718705</v>
      </c>
      <c r="L56" s="26">
        <v>991.70978261380128</v>
      </c>
      <c r="M56" s="26"/>
      <c r="N56" s="26">
        <v>3760</v>
      </c>
      <c r="O56" s="21">
        <v>9.6059496629938262E-2</v>
      </c>
      <c r="P56" s="26">
        <v>4121.1837073285678</v>
      </c>
      <c r="Q56" s="26">
        <v>4517.0625397740523</v>
      </c>
      <c r="R56" s="26">
        <v>4950.9692935906978</v>
      </c>
    </row>
    <row r="57" spans="1:18" ht="15.5" x14ac:dyDescent="0.35">
      <c r="A57" s="9" t="s">
        <v>212</v>
      </c>
      <c r="B57" s="28">
        <v>8036</v>
      </c>
      <c r="C57" s="37">
        <v>2.4128693725223305E-2</v>
      </c>
      <c r="D57" s="29">
        <v>8229.8981827758944</v>
      </c>
      <c r="E57" s="29">
        <v>8428.4748754178654</v>
      </c>
      <c r="F57" s="29">
        <v>8631.8429642575611</v>
      </c>
      <c r="G57" s="30"/>
      <c r="H57" s="25">
        <v>1372</v>
      </c>
      <c r="I57" s="20">
        <v>7.2710568656281227E-3</v>
      </c>
      <c r="J57" s="29">
        <v>1381.9758900196416</v>
      </c>
      <c r="K57" s="29">
        <v>1392.0243153029014</v>
      </c>
      <c r="L57" s="26">
        <v>1402.1458032578057</v>
      </c>
      <c r="M57" s="26"/>
      <c r="N57" s="26">
        <v>6181</v>
      </c>
      <c r="O57" s="21">
        <v>3.1815436722382094E-2</v>
      </c>
      <c r="P57" s="26">
        <v>6377.6512143810442</v>
      </c>
      <c r="Q57" s="26">
        <v>6580.5589730296078</v>
      </c>
      <c r="R57" s="26">
        <v>6789.9223306339354</v>
      </c>
    </row>
    <row r="58" spans="1:18" ht="15.5" x14ac:dyDescent="0.35">
      <c r="A58" s="9" t="s">
        <v>213</v>
      </c>
      <c r="B58" s="28">
        <v>5734</v>
      </c>
      <c r="C58" s="37">
        <v>-2.0516600441279342E-2</v>
      </c>
      <c r="D58" s="29">
        <v>5616.3578130697042</v>
      </c>
      <c r="E58" s="29">
        <v>5501.1292438836954</v>
      </c>
      <c r="F58" s="29">
        <v>5388.2647732110963</v>
      </c>
      <c r="G58" s="30"/>
      <c r="H58" s="25">
        <v>518</v>
      </c>
      <c r="I58" s="20">
        <v>0.11847943048431381</v>
      </c>
      <c r="J58" s="29">
        <v>579.37234499087458</v>
      </c>
      <c r="K58" s="29">
        <v>648.01605046375471</v>
      </c>
      <c r="L58" s="26">
        <v>724.79262306739474</v>
      </c>
      <c r="M58" s="26"/>
      <c r="N58" s="26">
        <v>4714</v>
      </c>
      <c r="O58" s="21">
        <v>8.0358684646487141E-2</v>
      </c>
      <c r="P58" s="26">
        <v>5092.8108394235405</v>
      </c>
      <c r="Q58" s="26">
        <v>5502.0624196329891</v>
      </c>
      <c r="R58" s="26">
        <v>5944.2009185175648</v>
      </c>
    </row>
    <row r="59" spans="1:18" ht="15.5" x14ac:dyDescent="0.35">
      <c r="A59" s="9" t="s">
        <v>214</v>
      </c>
      <c r="B59" s="28">
        <v>3797</v>
      </c>
      <c r="C59" s="37">
        <v>-1.3956136890271819E-2</v>
      </c>
      <c r="D59" s="29">
        <v>3744.0085482276377</v>
      </c>
      <c r="E59" s="29">
        <v>3691.7566524102249</v>
      </c>
      <c r="F59" s="29">
        <v>3640.2339912036159</v>
      </c>
      <c r="G59" s="30"/>
      <c r="H59" s="25">
        <v>171</v>
      </c>
      <c r="I59" s="20">
        <v>0.12662581136454296</v>
      </c>
      <c r="J59" s="29">
        <v>192.65301374333683</v>
      </c>
      <c r="K59" s="29">
        <v>217.04785792041127</v>
      </c>
      <c r="L59" s="26">
        <v>244.53171903451937</v>
      </c>
      <c r="M59" s="26"/>
      <c r="N59" s="26">
        <v>3104</v>
      </c>
      <c r="O59" s="21">
        <v>8.4969769091109981E-3</v>
      </c>
      <c r="P59" s="26">
        <v>3130.3746163258807</v>
      </c>
      <c r="Q59" s="26">
        <v>3156.973337157669</v>
      </c>
      <c r="R59" s="26">
        <v>3183.798066706177</v>
      </c>
    </row>
    <row r="60" spans="1:18" ht="15.5" x14ac:dyDescent="0.35">
      <c r="A60" s="9" t="s">
        <v>215</v>
      </c>
      <c r="B60" s="28">
        <v>5872</v>
      </c>
      <c r="C60" s="37">
        <v>-3.7340748089007116E-3</v>
      </c>
      <c r="D60" s="29">
        <v>5850.0735127221351</v>
      </c>
      <c r="E60" s="29">
        <v>5828.2289005880621</v>
      </c>
      <c r="F60" s="29">
        <v>5806.4658578698691</v>
      </c>
      <c r="G60" s="30"/>
      <c r="H60" s="25">
        <v>696</v>
      </c>
      <c r="I60" s="20">
        <v>0.2514603675333249</v>
      </c>
      <c r="J60" s="29">
        <v>871.01641580319415</v>
      </c>
      <c r="K60" s="29">
        <v>1090.0425238486248</v>
      </c>
      <c r="L60" s="26">
        <v>1364.145017522553</v>
      </c>
      <c r="M60" s="26"/>
      <c r="N60" s="26">
        <v>4865</v>
      </c>
      <c r="O60" s="21">
        <v>-3.0380920315779724E-2</v>
      </c>
      <c r="P60" s="26">
        <v>4717.1968226637318</v>
      </c>
      <c r="Q60" s="26">
        <v>4573.8840418805357</v>
      </c>
      <c r="R60" s="26">
        <v>4434.9252352705462</v>
      </c>
    </row>
    <row r="61" spans="1:18" ht="15.5" x14ac:dyDescent="0.35">
      <c r="A61" s="9" t="s">
        <v>216</v>
      </c>
      <c r="B61" s="28">
        <v>827</v>
      </c>
      <c r="C61" s="37">
        <v>-8.9580693457275443E-2</v>
      </c>
      <c r="D61" s="29">
        <v>752.91676651083321</v>
      </c>
      <c r="E61" s="29">
        <v>685.46996045118317</v>
      </c>
      <c r="F61" s="29">
        <v>624.06508604983503</v>
      </c>
      <c r="G61" s="30"/>
      <c r="H61" s="25">
        <v>25</v>
      </c>
      <c r="I61" s="20">
        <v>0.39214743589743589</v>
      </c>
      <c r="J61" s="29">
        <v>34.803685897435898</v>
      </c>
      <c r="K61" s="29">
        <v>48.451862081895136</v>
      </c>
      <c r="L61" s="26">
        <v>67.452135561766511</v>
      </c>
      <c r="M61" s="26"/>
      <c r="N61" s="26">
        <v>703</v>
      </c>
      <c r="O61" s="21">
        <v>-8.1953033522812774E-2</v>
      </c>
      <c r="P61" s="26">
        <v>645.38701743346257</v>
      </c>
      <c r="Q61" s="26">
        <v>592.4955935585499</v>
      </c>
      <c r="R61" s="26">
        <v>543.93878231752717</v>
      </c>
    </row>
    <row r="62" spans="1:18" ht="15.5" x14ac:dyDescent="0.35">
      <c r="A62" s="9" t="s">
        <v>217</v>
      </c>
      <c r="B62" s="28">
        <v>2224</v>
      </c>
      <c r="C62" s="37">
        <v>-4.969630784329819E-2</v>
      </c>
      <c r="D62" s="29">
        <v>2113.475411356505</v>
      </c>
      <c r="E62" s="29">
        <v>2008.443486694491</v>
      </c>
      <c r="F62" s="29">
        <v>1908.6312608938545</v>
      </c>
      <c r="G62" s="30"/>
      <c r="H62" s="25">
        <v>40</v>
      </c>
      <c r="I62" s="20">
        <v>0.48982520712046573</v>
      </c>
      <c r="J62" s="29">
        <v>59.593008284818637</v>
      </c>
      <c r="K62" s="29">
        <v>88.78316591086157</v>
      </c>
      <c r="L62" s="26">
        <v>132.27139854196002</v>
      </c>
      <c r="M62" s="26"/>
      <c r="N62" s="26">
        <v>2874</v>
      </c>
      <c r="O62" s="21">
        <v>-2.6813907535576643E-2</v>
      </c>
      <c r="P62" s="26">
        <v>2796.9368297427527</v>
      </c>
      <c r="Q62" s="26">
        <v>2721.9400242071815</v>
      </c>
      <c r="R62" s="26">
        <v>2648.9541760807047</v>
      </c>
    </row>
    <row r="63" spans="1:18" ht="15.5" x14ac:dyDescent="0.35">
      <c r="A63" s="9" t="s">
        <v>218</v>
      </c>
      <c r="B63" s="28">
        <v>3630</v>
      </c>
      <c r="C63" s="37">
        <v>-2.5728897136440797E-2</v>
      </c>
      <c r="D63" s="29">
        <v>3536.6041033947199</v>
      </c>
      <c r="E63" s="29">
        <v>3445.6111802061628</v>
      </c>
      <c r="F63" s="29">
        <v>3356.9594045784679</v>
      </c>
      <c r="G63" s="30"/>
      <c r="H63" s="25">
        <v>982</v>
      </c>
      <c r="I63" s="20">
        <v>3.2472936689845078E-2</v>
      </c>
      <c r="J63" s="29">
        <v>1013.8884238294279</v>
      </c>
      <c r="K63" s="29">
        <v>1046.8123584270077</v>
      </c>
      <c r="L63" s="26">
        <v>1080.8054298683553</v>
      </c>
      <c r="M63" s="26"/>
      <c r="N63" s="26">
        <v>4332</v>
      </c>
      <c r="O63" s="21">
        <v>-5.5353264386150888E-2</v>
      </c>
      <c r="P63" s="26">
        <v>4092.2096586791945</v>
      </c>
      <c r="Q63" s="26">
        <v>3865.6924955187651</v>
      </c>
      <c r="R63" s="26">
        <v>3651.7137967787557</v>
      </c>
    </row>
    <row r="64" spans="1:18" ht="15.5" x14ac:dyDescent="0.35">
      <c r="A64" s="9" t="s">
        <v>219</v>
      </c>
      <c r="B64" s="28">
        <v>6071</v>
      </c>
      <c r="C64" s="37">
        <v>0.10866266605633972</v>
      </c>
      <c r="D64" s="29">
        <v>6730.6910456280384</v>
      </c>
      <c r="E64" s="29">
        <v>7462.0658790475136</v>
      </c>
      <c r="F64" s="29">
        <v>8272.9138517528609</v>
      </c>
      <c r="G64" s="30"/>
      <c r="H64" s="25">
        <v>1405</v>
      </c>
      <c r="I64" s="20">
        <v>4.9392679904405823E-2</v>
      </c>
      <c r="J64" s="29">
        <v>1474.3967152656901</v>
      </c>
      <c r="K64" s="29">
        <v>1547.2211202749156</v>
      </c>
      <c r="L64" s="26">
        <v>1623.6425178099905</v>
      </c>
      <c r="M64" s="26"/>
      <c r="N64" s="26">
        <v>6397</v>
      </c>
      <c r="O64" s="21">
        <v>4.2860131943663227E-2</v>
      </c>
      <c r="P64" s="26">
        <v>6671.1762640436136</v>
      </c>
      <c r="Q64" s="26">
        <v>6957.1037589399575</v>
      </c>
      <c r="R64" s="26">
        <v>7255.2861439938797</v>
      </c>
    </row>
    <row r="65" spans="1:18" ht="15.5" x14ac:dyDescent="0.35">
      <c r="A65" s="9" t="s">
        <v>220</v>
      </c>
      <c r="B65" s="28">
        <v>6786</v>
      </c>
      <c r="C65" s="37">
        <v>2.5522451522571977E-2</v>
      </c>
      <c r="D65" s="29">
        <v>6959.1953560321735</v>
      </c>
      <c r="E65" s="29">
        <v>7136.8110821426135</v>
      </c>
      <c r="F65" s="29">
        <v>7318.9599970123536</v>
      </c>
      <c r="G65" s="30"/>
      <c r="H65" s="25">
        <v>665</v>
      </c>
      <c r="I65" s="20">
        <v>-2.5649236568216466E-2</v>
      </c>
      <c r="J65" s="29">
        <v>647.94325768213605</v>
      </c>
      <c r="K65" s="29">
        <v>631.32400778306612</v>
      </c>
      <c r="L65" s="26">
        <v>615.13102895624365</v>
      </c>
      <c r="M65" s="26"/>
      <c r="N65" s="26">
        <v>6076</v>
      </c>
      <c r="O65" s="21">
        <v>3.019735263686114E-2</v>
      </c>
      <c r="P65" s="26">
        <v>6259.4791146215675</v>
      </c>
      <c r="Q65" s="26">
        <v>6448.4988127688621</v>
      </c>
      <c r="R65" s="26">
        <v>6643.2264053964236</v>
      </c>
    </row>
    <row r="66" spans="1:18" ht="15.5" x14ac:dyDescent="0.35">
      <c r="A66" s="9" t="s">
        <v>221</v>
      </c>
      <c r="B66" s="28">
        <v>15616</v>
      </c>
      <c r="C66" s="37">
        <v>-1.4164064361034923E-2</v>
      </c>
      <c r="D66" s="29">
        <v>15394.813970938079</v>
      </c>
      <c r="E66" s="29">
        <v>15176.760835027553</v>
      </c>
      <c r="F66" s="29">
        <v>14961.796217768189</v>
      </c>
      <c r="G66" s="30"/>
      <c r="H66" s="25">
        <v>1905</v>
      </c>
      <c r="I66" s="20">
        <v>0.14682327642213361</v>
      </c>
      <c r="J66" s="29">
        <v>2184.6983415841646</v>
      </c>
      <c r="K66" s="29">
        <v>2505.4629100895531</v>
      </c>
      <c r="L66" s="26">
        <v>2873.3231835030347</v>
      </c>
      <c r="M66" s="26"/>
      <c r="N66" s="26">
        <v>11116</v>
      </c>
      <c r="O66" s="21">
        <v>2.3010946884777273E-2</v>
      </c>
      <c r="P66" s="26">
        <v>11371.789685571184</v>
      </c>
      <c r="Q66" s="26">
        <v>11633.46533401072</v>
      </c>
      <c r="R66" s="26">
        <v>11901.162386897538</v>
      </c>
    </row>
    <row r="67" spans="1:18" ht="15.5" x14ac:dyDescent="0.35">
      <c r="A67" s="9" t="s">
        <v>222</v>
      </c>
      <c r="B67" s="28">
        <v>9361</v>
      </c>
      <c r="C67" s="37">
        <v>3.8022703468668984E-2</v>
      </c>
      <c r="D67" s="29">
        <v>9716.9305271702087</v>
      </c>
      <c r="E67" s="29">
        <v>10086.394495230457</v>
      </c>
      <c r="F67" s="29">
        <v>10469.906482190619</v>
      </c>
      <c r="G67" s="30"/>
      <c r="H67" s="25">
        <v>1123</v>
      </c>
      <c r="I67" s="20">
        <v>0.13515792664464019</v>
      </c>
      <c r="J67" s="29">
        <v>1274.7823516219307</v>
      </c>
      <c r="K67" s="29">
        <v>1447.0792911903295</v>
      </c>
      <c r="L67" s="26">
        <v>1642.66352787801</v>
      </c>
      <c r="M67" s="26"/>
      <c r="N67" s="26">
        <v>7469</v>
      </c>
      <c r="O67" s="21">
        <v>-6.2983907138699502E-3</v>
      </c>
      <c r="P67" s="26">
        <v>7421.9573197581058</v>
      </c>
      <c r="Q67" s="26">
        <v>7375.210932696602</v>
      </c>
      <c r="R67" s="26">
        <v>7328.7589726452734</v>
      </c>
    </row>
    <row r="68" spans="1:18" ht="15.5" x14ac:dyDescent="0.35">
      <c r="A68" s="9" t="s">
        <v>223</v>
      </c>
      <c r="B68" s="28">
        <v>7190</v>
      </c>
      <c r="C68" s="37">
        <v>2.7168204510114303E-2</v>
      </c>
      <c r="D68" s="29">
        <v>7385.3393904277218</v>
      </c>
      <c r="E68" s="29">
        <v>7585.9858013634648</v>
      </c>
      <c r="F68" s="29">
        <v>7792.0834150257306</v>
      </c>
      <c r="G68" s="30"/>
      <c r="H68" s="25">
        <v>352</v>
      </c>
      <c r="I68" s="20">
        <v>0.18404637460275391</v>
      </c>
      <c r="J68" s="29">
        <v>416.78432386016937</v>
      </c>
      <c r="K68" s="29">
        <v>493.49196765789355</v>
      </c>
      <c r="L68" s="26">
        <v>584.31737520090837</v>
      </c>
      <c r="M68" s="26"/>
      <c r="N68" s="26">
        <v>4718</v>
      </c>
      <c r="O68" s="21">
        <v>-2.9709851240146801E-2</v>
      </c>
      <c r="P68" s="26">
        <v>4577.8289218489872</v>
      </c>
      <c r="Q68" s="26">
        <v>4441.8223055780118</v>
      </c>
      <c r="R68" s="26">
        <v>4309.8564256441232</v>
      </c>
    </row>
    <row r="69" spans="1:18" ht="15.5" x14ac:dyDescent="0.35">
      <c r="A69" s="9" t="s">
        <v>224</v>
      </c>
      <c r="B69" s="28">
        <v>3221</v>
      </c>
      <c r="C69" s="37">
        <v>-1.8751892393881243E-2</v>
      </c>
      <c r="D69" s="29">
        <v>3160.6001545993086</v>
      </c>
      <c r="E69" s="29">
        <v>3101.3329206001781</v>
      </c>
      <c r="F69" s="29">
        <v>3043.177059395482</v>
      </c>
      <c r="G69" s="30"/>
      <c r="H69" s="25">
        <v>378</v>
      </c>
      <c r="I69" s="20">
        <v>0.25026652430310875</v>
      </c>
      <c r="J69" s="29">
        <v>472.60074618657512</v>
      </c>
      <c r="K69" s="29">
        <v>590.87689231774493</v>
      </c>
      <c r="L69" s="26">
        <v>738.7535984491293</v>
      </c>
      <c r="M69" s="26"/>
      <c r="N69" s="26">
        <v>2424</v>
      </c>
      <c r="O69" s="21">
        <v>2.3023954356277909E-2</v>
      </c>
      <c r="P69" s="26">
        <v>2479.8100653596175</v>
      </c>
      <c r="Q69" s="26">
        <v>2536.9050991166955</v>
      </c>
      <c r="R69" s="26">
        <v>2595.3146863249667</v>
      </c>
    </row>
    <row r="70" spans="1:18" ht="15.5" x14ac:dyDescent="0.35">
      <c r="A70" s="9" t="s">
        <v>225</v>
      </c>
      <c r="B70" s="28">
        <v>1339</v>
      </c>
      <c r="C70" s="37">
        <v>4.9484242088567186E-2</v>
      </c>
      <c r="D70" s="29">
        <v>1405.2594001565915</v>
      </c>
      <c r="E70" s="29">
        <v>1474.797596511175</v>
      </c>
      <c r="F70" s="29">
        <v>1547.7768378085711</v>
      </c>
      <c r="G70" s="30"/>
      <c r="H70" s="25">
        <v>124</v>
      </c>
      <c r="I70" s="20">
        <v>0.2389888721901737</v>
      </c>
      <c r="J70" s="29">
        <v>153.63462015158152</v>
      </c>
      <c r="K70" s="29">
        <v>190.3515847509737</v>
      </c>
      <c r="L70" s="26">
        <v>235.84349531022116</v>
      </c>
      <c r="M70" s="26"/>
      <c r="N70" s="26">
        <v>1162</v>
      </c>
      <c r="O70" s="21">
        <v>4.978930857004378E-2</v>
      </c>
      <c r="P70" s="26">
        <v>1219.8551765583909</v>
      </c>
      <c r="Q70" s="26">
        <v>1280.5909223548219</v>
      </c>
      <c r="R70" s="26">
        <v>1344.3506589399433</v>
      </c>
    </row>
    <row r="71" spans="1:18" ht="15.5" x14ac:dyDescent="0.35">
      <c r="A71" s="9" t="s">
        <v>226</v>
      </c>
      <c r="B71" s="28">
        <v>2835</v>
      </c>
      <c r="C71" s="37">
        <v>-6.9548975146021125E-2</v>
      </c>
      <c r="D71" s="29">
        <v>2637.8286554610304</v>
      </c>
      <c r="E71" s="29">
        <v>2454.370375862909</v>
      </c>
      <c r="F71" s="29">
        <v>2283.6714315928889</v>
      </c>
      <c r="G71" s="30"/>
      <c r="H71" s="25">
        <v>342</v>
      </c>
      <c r="I71" s="20">
        <v>6.0243774831236524E-2</v>
      </c>
      <c r="J71" s="29">
        <v>362.60337099228292</v>
      </c>
      <c r="K71" s="29">
        <v>384.44796682738934</v>
      </c>
      <c r="L71" s="26">
        <v>407.60856357526529</v>
      </c>
      <c r="M71" s="26"/>
      <c r="N71" s="26">
        <v>3144</v>
      </c>
      <c r="O71" s="21">
        <v>-7.7094913885649194E-2</v>
      </c>
      <c r="P71" s="26">
        <v>2901.6135907435191</v>
      </c>
      <c r="Q71" s="26">
        <v>2677.9139408357182</v>
      </c>
      <c r="R71" s="26">
        <v>2471.4603961738094</v>
      </c>
    </row>
    <row r="72" spans="1:18" ht="15.5" x14ac:dyDescent="0.35">
      <c r="A72" s="9" t="s">
        <v>227</v>
      </c>
      <c r="B72" s="28">
        <v>8811</v>
      </c>
      <c r="C72" s="37">
        <v>1.1705766739499256E-2</v>
      </c>
      <c r="D72" s="29">
        <v>8914.1395107417284</v>
      </c>
      <c r="E72" s="29">
        <v>9018.4863485378246</v>
      </c>
      <c r="F72" s="29">
        <v>9124.0546460771675</v>
      </c>
      <c r="G72" s="30"/>
      <c r="H72" s="25">
        <v>914</v>
      </c>
      <c r="I72" s="20">
        <v>0.15918942058514912</v>
      </c>
      <c r="J72" s="29">
        <v>1059.4991304148264</v>
      </c>
      <c r="K72" s="29">
        <v>1228.1601830960319</v>
      </c>
      <c r="L72" s="26">
        <v>1423.67029102884</v>
      </c>
      <c r="M72" s="26"/>
      <c r="N72" s="26">
        <v>6958</v>
      </c>
      <c r="O72" s="21">
        <v>1.2897719486658143E-2</v>
      </c>
      <c r="P72" s="26">
        <v>7047.7423321881679</v>
      </c>
      <c r="Q72" s="26">
        <v>7138.6421358029775</v>
      </c>
      <c r="R72" s="26">
        <v>7230.7143395862031</v>
      </c>
    </row>
    <row r="73" spans="1:18" ht="15.5" x14ac:dyDescent="0.35">
      <c r="A73" s="9" t="s">
        <v>228</v>
      </c>
      <c r="B73" s="28">
        <v>4404</v>
      </c>
      <c r="C73" s="37">
        <v>-1.5821572434595855E-2</v>
      </c>
      <c r="D73" s="29">
        <v>4334.3217949980399</v>
      </c>
      <c r="E73" s="29">
        <v>4265.7460087636309</v>
      </c>
      <c r="F73" s="29">
        <v>4198.255199298389</v>
      </c>
      <c r="G73" s="30"/>
      <c r="H73" s="25">
        <v>382</v>
      </c>
      <c r="I73" s="20">
        <v>0.10973715611120186</v>
      </c>
      <c r="J73" s="29">
        <v>423.91959363447916</v>
      </c>
      <c r="K73" s="29">
        <v>470.43932425974327</v>
      </c>
      <c r="L73" s="26">
        <v>522.06399782688311</v>
      </c>
      <c r="M73" s="26"/>
      <c r="N73" s="26">
        <v>3121</v>
      </c>
      <c r="O73" s="21">
        <v>-4.7844143827286703E-2</v>
      </c>
      <c r="P73" s="26">
        <v>2971.6784271150382</v>
      </c>
      <c r="Q73" s="26">
        <v>2829.5010170397009</v>
      </c>
      <c r="R73" s="26">
        <v>2694.1259634209991</v>
      </c>
    </row>
    <row r="74" spans="1:18" ht="15.5" x14ac:dyDescent="0.35">
      <c r="A74" s="9"/>
      <c r="B74" s="31"/>
      <c r="D74" s="4"/>
      <c r="E74" s="4"/>
      <c r="F74" s="4"/>
      <c r="G74" s="32"/>
      <c r="I74" s="4"/>
      <c r="J74" s="4"/>
      <c r="K74" s="4"/>
    </row>
    <row r="75" spans="1:18" x14ac:dyDescent="0.35">
      <c r="A75" s="33" t="s">
        <v>154</v>
      </c>
      <c r="B75" s="24">
        <v>453507</v>
      </c>
      <c r="C75" s="25"/>
      <c r="D75" s="26">
        <v>454622.39431720838</v>
      </c>
      <c r="E75" s="26">
        <v>456562.72382364434</v>
      </c>
      <c r="F75" s="26">
        <v>459404.29719627323</v>
      </c>
      <c r="G75" s="24"/>
      <c r="H75" s="25">
        <v>63006</v>
      </c>
      <c r="I75" s="21">
        <v>8.7409935602498767E-2</v>
      </c>
      <c r="J75" s="26">
        <v>70523.833860340979</v>
      </c>
      <c r="K75" s="26">
        <v>79799.652559771159</v>
      </c>
      <c r="L75" s="26">
        <v>91431.637502196056</v>
      </c>
      <c r="M75" s="26"/>
      <c r="N75" s="26">
        <v>397868</v>
      </c>
      <c r="O75" s="21">
        <v>1.6728516873414589E-3</v>
      </c>
      <c r="P75" s="26">
        <v>401175.86409631057</v>
      </c>
      <c r="Q75" s="26">
        <v>405178.1296106095</v>
      </c>
      <c r="R75" s="26">
        <v>409907.49930107576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BEEC"/>
  </sheetPr>
  <dimension ref="A1:AP75"/>
  <sheetViews>
    <sheetView workbookViewId="0">
      <pane ySplit="1" topLeftCell="A2" activePane="bottomLeft" state="frozen"/>
      <selection activeCell="S1" sqref="S1"/>
      <selection pane="bottomLeft" activeCell="G5" sqref="G5"/>
    </sheetView>
  </sheetViews>
  <sheetFormatPr defaultColWidth="8.6328125" defaultRowHeight="14.5" x14ac:dyDescent="0.35"/>
  <cols>
    <col min="1" max="1" width="53.36328125" style="3" bestFit="1" customWidth="1"/>
    <col min="2" max="2" width="9" style="3" bestFit="1" customWidth="1"/>
    <col min="3" max="3" width="9" style="3" customWidth="1"/>
    <col min="4" max="4" width="10" style="3" customWidth="1"/>
    <col min="5" max="5" width="9.6328125" style="3" customWidth="1"/>
    <col min="6" max="6" width="9.90625" style="3" customWidth="1"/>
    <col min="7" max="7" width="2.36328125" style="3" customWidth="1"/>
    <col min="8" max="9" width="9" style="3" customWidth="1"/>
    <col min="10" max="11" width="10.36328125" style="3" customWidth="1"/>
    <col min="12" max="12" width="9.36328125" style="3" customWidth="1"/>
    <col min="13" max="13" width="3.6328125" style="3" customWidth="1"/>
    <col min="14" max="18" width="12.08984375" style="3" customWidth="1"/>
    <col min="19" max="19" width="6.08984375" style="3" customWidth="1"/>
    <col min="20" max="20" width="11" style="3" customWidth="1"/>
    <col min="21" max="21" width="8.6328125" style="3"/>
    <col min="22" max="22" width="9.6328125" style="3" customWidth="1"/>
    <col min="23" max="23" width="10" style="3" customWidth="1"/>
    <col min="24" max="24" width="10.6328125" style="3" customWidth="1"/>
    <col min="25" max="25" width="3.54296875" style="3" customWidth="1"/>
    <col min="26" max="26" width="9.36328125" style="3" bestFit="1" customWidth="1"/>
    <col min="27" max="30" width="9.36328125" style="3" customWidth="1"/>
    <col min="31" max="31" width="3.54296875" style="3" customWidth="1"/>
    <col min="32" max="33" width="8.6328125" style="3"/>
    <col min="34" max="34" width="9.6328125" style="3" customWidth="1"/>
    <col min="35" max="35" width="10.54296875" style="3" customWidth="1"/>
    <col min="36" max="36" width="11.36328125" style="3" bestFit="1" customWidth="1"/>
    <col min="37" max="37" width="4" style="3" customWidth="1"/>
    <col min="38" max="39" width="8.6328125" style="3"/>
    <col min="40" max="40" width="10" style="3" customWidth="1"/>
    <col min="41" max="41" width="9.90625" style="3" customWidth="1"/>
    <col min="42" max="42" width="9.54296875" style="3" customWidth="1"/>
    <col min="43" max="16384" width="8.6328125" style="3"/>
  </cols>
  <sheetData>
    <row r="1" spans="1:42" s="49" customFormat="1" ht="72.5" x14ac:dyDescent="0.35">
      <c r="A1" s="22" t="s">
        <v>155</v>
      </c>
      <c r="B1" s="22" t="s">
        <v>541</v>
      </c>
      <c r="C1" s="22" t="s">
        <v>550</v>
      </c>
      <c r="D1" s="22" t="s">
        <v>542</v>
      </c>
      <c r="E1" s="22" t="s">
        <v>543</v>
      </c>
      <c r="F1" s="22" t="s">
        <v>544</v>
      </c>
      <c r="G1" s="22"/>
      <c r="H1" s="22" t="s">
        <v>7</v>
      </c>
      <c r="I1" s="22" t="s">
        <v>8</v>
      </c>
      <c r="J1" s="22" t="s">
        <v>9</v>
      </c>
      <c r="K1" s="22" t="s">
        <v>10</v>
      </c>
      <c r="L1" s="22" t="s">
        <v>11</v>
      </c>
      <c r="M1" s="22"/>
      <c r="N1" s="22" t="s">
        <v>12</v>
      </c>
      <c r="O1" s="22" t="s">
        <v>13</v>
      </c>
      <c r="P1" s="49" t="s">
        <v>14</v>
      </c>
      <c r="Q1" s="49" t="s">
        <v>15</v>
      </c>
      <c r="R1" s="49" t="s">
        <v>16</v>
      </c>
      <c r="T1" s="179" t="s">
        <v>2</v>
      </c>
      <c r="U1" s="177" t="s">
        <v>3</v>
      </c>
      <c r="V1" s="177" t="s">
        <v>4</v>
      </c>
      <c r="W1" s="177" t="s">
        <v>5</v>
      </c>
      <c r="X1" s="177" t="s">
        <v>6</v>
      </c>
      <c r="Y1" s="22"/>
      <c r="Z1" s="168" t="s">
        <v>456</v>
      </c>
      <c r="AA1" s="166" t="s">
        <v>457</v>
      </c>
      <c r="AB1" s="166" t="s">
        <v>458</v>
      </c>
      <c r="AC1" s="166" t="s">
        <v>459</v>
      </c>
      <c r="AD1" s="166" t="s">
        <v>460</v>
      </c>
      <c r="AF1" s="172" t="s">
        <v>17</v>
      </c>
      <c r="AG1" s="172" t="s">
        <v>18</v>
      </c>
      <c r="AH1" s="172" t="s">
        <v>19</v>
      </c>
      <c r="AI1" s="172" t="s">
        <v>20</v>
      </c>
      <c r="AJ1" s="172" t="s">
        <v>21</v>
      </c>
      <c r="AL1" s="49" t="s">
        <v>545</v>
      </c>
      <c r="AM1" s="49" t="s">
        <v>546</v>
      </c>
      <c r="AN1" s="49" t="s">
        <v>547</v>
      </c>
      <c r="AO1" s="49" t="s">
        <v>548</v>
      </c>
      <c r="AP1" s="49" t="s">
        <v>549</v>
      </c>
    </row>
    <row r="2" spans="1:42" s="51" customFormat="1" ht="15.5" x14ac:dyDescent="0.35">
      <c r="A2" s="52" t="s">
        <v>157</v>
      </c>
      <c r="B2" s="53">
        <v>1076</v>
      </c>
      <c r="C2" s="50">
        <v>3.7979161657576831E-2</v>
      </c>
      <c r="D2" s="53">
        <v>1116.8655779435528</v>
      </c>
      <c r="E2" s="53">
        <v>1159.283196278054</v>
      </c>
      <c r="F2" s="53">
        <v>1203.3118001964106</v>
      </c>
      <c r="H2" s="53">
        <v>259</v>
      </c>
      <c r="I2" s="50">
        <v>4.4682931128955376E-2</v>
      </c>
      <c r="J2" s="53">
        <v>270.57287916239943</v>
      </c>
      <c r="K2" s="53">
        <v>282.6628684873761</v>
      </c>
      <c r="L2" s="53">
        <v>295.29307397271049</v>
      </c>
      <c r="N2" s="53">
        <v>791</v>
      </c>
      <c r="O2" s="50">
        <v>7.4932918189999073E-2</v>
      </c>
      <c r="P2" s="53">
        <v>850.27193828828933</v>
      </c>
      <c r="Q2" s="53">
        <v>913.98529587929772</v>
      </c>
      <c r="R2" s="53">
        <v>982.47288128228331</v>
      </c>
      <c r="T2" s="176">
        <v>1933</v>
      </c>
      <c r="U2" s="178">
        <v>-2.6330503118398908E-3</v>
      </c>
      <c r="V2" s="176">
        <v>1927.9103137472134</v>
      </c>
      <c r="W2" s="176">
        <v>1922.8340288944019</v>
      </c>
      <c r="X2" s="176">
        <v>1917.7711101550051</v>
      </c>
      <c r="Z2" s="165">
        <v>601</v>
      </c>
      <c r="AA2" s="167">
        <v>-6.7695722104880174E-3</v>
      </c>
      <c r="AB2" s="165">
        <v>596.93148710149671</v>
      </c>
      <c r="AC2" s="165">
        <v>592.89051629484914</v>
      </c>
      <c r="AD2" s="165">
        <v>588.87690113187762</v>
      </c>
      <c r="AF2" s="171">
        <v>2647</v>
      </c>
      <c r="AG2" s="173">
        <v>1.9448314200546241E-2</v>
      </c>
      <c r="AH2" s="171">
        <v>2698.4796876888458</v>
      </c>
      <c r="AI2" s="171">
        <v>2750.9605685188103</v>
      </c>
      <c r="AJ2" s="171">
        <v>2804.4621140086774</v>
      </c>
      <c r="AL2" s="53">
        <v>215</v>
      </c>
      <c r="AM2" s="50">
        <v>0</v>
      </c>
      <c r="AN2" s="53">
        <v>215</v>
      </c>
      <c r="AO2" s="53">
        <v>215</v>
      </c>
      <c r="AP2" s="53">
        <v>215</v>
      </c>
    </row>
    <row r="3" spans="1:42" ht="15.5" x14ac:dyDescent="0.35">
      <c r="A3" s="54" t="s">
        <v>158</v>
      </c>
      <c r="B3" s="44">
        <v>1303</v>
      </c>
      <c r="C3" s="45">
        <v>9.8373141991168075E-2</v>
      </c>
      <c r="D3" s="44">
        <v>1431.1802040144919</v>
      </c>
      <c r="E3" s="44">
        <v>1571.9698974389582</v>
      </c>
      <c r="F3" s="44">
        <v>1726.6095153655626</v>
      </c>
      <c r="G3" s="5"/>
      <c r="H3" s="44">
        <v>430</v>
      </c>
      <c r="I3" s="45">
        <v>5.796106999170926E-2</v>
      </c>
      <c r="J3" s="44">
        <v>454.923260096435</v>
      </c>
      <c r="K3" s="44">
        <v>481.291099015741</v>
      </c>
      <c r="L3" s="44">
        <v>509.18724609217901</v>
      </c>
      <c r="M3" s="5"/>
      <c r="N3" s="44">
        <v>895</v>
      </c>
      <c r="O3" s="45">
        <v>0.17439332849644726</v>
      </c>
      <c r="P3" s="44">
        <v>1051.0820290043202</v>
      </c>
      <c r="Q3" s="44">
        <v>1234.3837225651828</v>
      </c>
      <c r="R3" s="44">
        <v>1449.65200858516</v>
      </c>
      <c r="S3" s="5"/>
      <c r="T3" s="176">
        <v>2138</v>
      </c>
      <c r="U3" s="178">
        <v>-2.6330503118398908E-3</v>
      </c>
      <c r="V3" s="176">
        <v>2132.3705384332861</v>
      </c>
      <c r="W3" s="176">
        <v>2126.7558995221061</v>
      </c>
      <c r="X3" s="176">
        <v>2121.1560442376622</v>
      </c>
      <c r="Y3" s="48"/>
      <c r="Z3" s="165">
        <v>956</v>
      </c>
      <c r="AA3" s="167">
        <v>3.6883929170292038E-3</v>
      </c>
      <c r="AB3" s="165">
        <v>959.52610362867995</v>
      </c>
      <c r="AC3" s="165">
        <v>963.06521291300862</v>
      </c>
      <c r="AD3" s="165">
        <v>966.61737582295427</v>
      </c>
      <c r="AF3" s="171">
        <v>1069</v>
      </c>
      <c r="AG3" s="173">
        <v>1.9448314200546241E-2</v>
      </c>
      <c r="AH3" s="171">
        <v>1089.7902478803837</v>
      </c>
      <c r="AI3" s="171">
        <v>1110.9848310338525</v>
      </c>
      <c r="AJ3" s="171">
        <v>1132.5916130998396</v>
      </c>
      <c r="AL3" s="25">
        <v>206</v>
      </c>
      <c r="AM3" s="55">
        <v>0</v>
      </c>
      <c r="AN3" s="25">
        <v>206</v>
      </c>
      <c r="AO3" s="25">
        <v>206</v>
      </c>
      <c r="AP3" s="25">
        <v>206</v>
      </c>
    </row>
    <row r="4" spans="1:42" ht="15.5" x14ac:dyDescent="0.35">
      <c r="A4" s="54" t="s">
        <v>159</v>
      </c>
      <c r="B4" s="44">
        <v>274</v>
      </c>
      <c r="C4" s="45">
        <v>-2.8120216294960598E-2</v>
      </c>
      <c r="D4" s="44">
        <v>266.29506073518081</v>
      </c>
      <c r="E4" s="44">
        <v>258.80678602902782</v>
      </c>
      <c r="F4" s="44">
        <v>251.52908322728797</v>
      </c>
      <c r="G4" s="5"/>
      <c r="H4" s="44">
        <v>79</v>
      </c>
      <c r="I4" s="45">
        <v>5.4400752934053963E-2</v>
      </c>
      <c r="J4" s="44">
        <v>83.297659481790262</v>
      </c>
      <c r="K4" s="44">
        <v>87.829114875244088</v>
      </c>
      <c r="L4" s="44">
        <v>92.607084853988894</v>
      </c>
      <c r="M4" s="5"/>
      <c r="N4" s="44">
        <v>17</v>
      </c>
      <c r="O4" s="45">
        <v>0.22654456654456653</v>
      </c>
      <c r="P4" s="44">
        <v>20.851257631257631</v>
      </c>
      <c r="Q4" s="44">
        <v>25.574996753239976</v>
      </c>
      <c r="R4" s="44">
        <v>31.368873307081419</v>
      </c>
      <c r="S4" s="5"/>
      <c r="T4" s="176">
        <v>421</v>
      </c>
      <c r="U4" s="178">
        <v>-2.6330503118398908E-3</v>
      </c>
      <c r="V4" s="176">
        <v>419.89148581871541</v>
      </c>
      <c r="W4" s="176">
        <v>418.78589041104152</v>
      </c>
      <c r="X4" s="176">
        <v>417.68320609170058</v>
      </c>
      <c r="Y4" s="48"/>
      <c r="Z4" s="165">
        <v>209</v>
      </c>
      <c r="AA4" s="167">
        <v>-1.8015597658428174E-2</v>
      </c>
      <c r="AB4" s="165">
        <v>205.23474008938851</v>
      </c>
      <c r="AC4" s="165">
        <v>201.53731358640601</v>
      </c>
      <c r="AD4" s="165">
        <v>197.90649843167284</v>
      </c>
      <c r="AF4" s="171">
        <v>411</v>
      </c>
      <c r="AG4" s="173">
        <v>1.9448314200546241E-2</v>
      </c>
      <c r="AH4" s="171">
        <v>418.99325713642446</v>
      </c>
      <c r="AI4" s="171">
        <v>427.14196964912389</v>
      </c>
      <c r="AJ4" s="171">
        <v>435.44916088310021</v>
      </c>
      <c r="AL4" s="25">
        <v>26</v>
      </c>
      <c r="AM4" s="55">
        <v>0</v>
      </c>
      <c r="AN4" s="25">
        <v>26</v>
      </c>
      <c r="AO4" s="25">
        <v>26</v>
      </c>
      <c r="AP4" s="25">
        <v>26</v>
      </c>
    </row>
    <row r="5" spans="1:42" ht="15.5" x14ac:dyDescent="0.35">
      <c r="A5" s="54" t="s">
        <v>160</v>
      </c>
      <c r="B5" s="44">
        <v>1152</v>
      </c>
      <c r="C5" s="45">
        <v>-1.2085336181807921E-2</v>
      </c>
      <c r="D5" s="44">
        <v>1138.0776927185573</v>
      </c>
      <c r="E5" s="44">
        <v>1124.3236412010372</v>
      </c>
      <c r="F5" s="44">
        <v>1110.7358120199683</v>
      </c>
      <c r="G5" s="5"/>
      <c r="H5" s="44">
        <v>303</v>
      </c>
      <c r="I5" s="45">
        <v>4.1928429655028313E-2</v>
      </c>
      <c r="J5" s="44">
        <v>315.70431418547361</v>
      </c>
      <c r="K5" s="44">
        <v>328.9413003145882</v>
      </c>
      <c r="L5" s="44">
        <v>342.73329248546202</v>
      </c>
      <c r="M5" s="5"/>
      <c r="N5" s="44">
        <v>517</v>
      </c>
      <c r="O5" s="45">
        <v>7.149721545332352E-2</v>
      </c>
      <c r="P5" s="44">
        <v>553.96406038936823</v>
      </c>
      <c r="Q5" s="44">
        <v>593.57094816842482</v>
      </c>
      <c r="R5" s="44">
        <v>636.0096181364562</v>
      </c>
      <c r="S5" s="5"/>
      <c r="T5" s="176">
        <v>2260</v>
      </c>
      <c r="U5" s="178">
        <v>-2.6330503118398908E-3</v>
      </c>
      <c r="V5" s="176">
        <v>2254.0493062952419</v>
      </c>
      <c r="W5" s="176">
        <v>2248.1142810663987</v>
      </c>
      <c r="X5" s="176">
        <v>2242.1948830575852</v>
      </c>
      <c r="Y5" s="48"/>
      <c r="Z5" s="165">
        <v>949</v>
      </c>
      <c r="AA5" s="167">
        <v>2.350184477042987E-2</v>
      </c>
      <c r="AB5" s="165">
        <v>971.30325068713785</v>
      </c>
      <c r="AC5" s="165">
        <v>994.13066890980087</v>
      </c>
      <c r="AD5" s="165">
        <v>1017.4945735720426</v>
      </c>
      <c r="AF5" s="171">
        <v>1348</v>
      </c>
      <c r="AG5" s="173">
        <v>1.9448314200546241E-2</v>
      </c>
      <c r="AH5" s="171">
        <v>1374.2163275423363</v>
      </c>
      <c r="AI5" s="171">
        <v>1400.9425184599004</v>
      </c>
      <c r="AJ5" s="171">
        <v>1428.1884887358131</v>
      </c>
      <c r="AL5" s="25">
        <v>261</v>
      </c>
      <c r="AM5" s="55">
        <v>0</v>
      </c>
      <c r="AN5" s="25">
        <v>261</v>
      </c>
      <c r="AO5" s="25">
        <v>261</v>
      </c>
      <c r="AP5" s="25">
        <v>261</v>
      </c>
    </row>
    <row r="6" spans="1:42" ht="15.5" x14ac:dyDescent="0.35">
      <c r="A6" s="54" t="s">
        <v>161</v>
      </c>
      <c r="B6" s="44">
        <v>1035</v>
      </c>
      <c r="C6" s="45">
        <v>1.4665075892172441E-2</v>
      </c>
      <c r="D6" s="44">
        <v>1050.1783535483985</v>
      </c>
      <c r="E6" s="44">
        <v>1065.5792988035025</v>
      </c>
      <c r="F6" s="44">
        <v>1081.2061000895837</v>
      </c>
      <c r="G6" s="5"/>
      <c r="H6" s="44">
        <v>227</v>
      </c>
      <c r="I6" s="45">
        <v>3.4291837756849478E-2</v>
      </c>
      <c r="J6" s="44">
        <v>234.78424717080483</v>
      </c>
      <c r="K6" s="44">
        <v>242.83543048265014</v>
      </c>
      <c r="L6" s="44">
        <v>251.16270366637588</v>
      </c>
      <c r="M6" s="5"/>
      <c r="N6" s="44">
        <v>176</v>
      </c>
      <c r="O6" s="45">
        <v>-4.417579317628946E-2</v>
      </c>
      <c r="P6" s="44">
        <v>168.22506040097304</v>
      </c>
      <c r="Q6" s="44">
        <v>160.79358492563085</v>
      </c>
      <c r="R6" s="44">
        <v>153.69040077388203</v>
      </c>
      <c r="S6" s="5"/>
      <c r="T6" s="176">
        <v>1174</v>
      </c>
      <c r="U6" s="178">
        <v>-2.6330503118398908E-3</v>
      </c>
      <c r="V6" s="176">
        <v>1170.9087989339</v>
      </c>
      <c r="W6" s="176">
        <v>1167.8257371557311</v>
      </c>
      <c r="X6" s="176">
        <v>1164.7507932343385</v>
      </c>
      <c r="Y6" s="48"/>
      <c r="Z6" s="165">
        <v>860</v>
      </c>
      <c r="AA6" s="167">
        <v>-7.7103902484317198E-3</v>
      </c>
      <c r="AB6" s="165">
        <v>853.36906438634878</v>
      </c>
      <c r="AC6" s="165">
        <v>846.78925587399101</v>
      </c>
      <c r="AD6" s="165">
        <v>840.26018025302346</v>
      </c>
      <c r="AF6" s="171">
        <v>1456</v>
      </c>
      <c r="AG6" s="173">
        <v>1.9448314200546241E-2</v>
      </c>
      <c r="AH6" s="171">
        <v>1484.3167454759953</v>
      </c>
      <c r="AI6" s="171">
        <v>1513.1842039151445</v>
      </c>
      <c r="AJ6" s="171">
        <v>1542.6130857561895</v>
      </c>
      <c r="AL6" s="25">
        <v>148</v>
      </c>
      <c r="AM6" s="55">
        <v>0</v>
      </c>
      <c r="AN6" s="25">
        <v>148</v>
      </c>
      <c r="AO6" s="25">
        <v>148</v>
      </c>
      <c r="AP6" s="25">
        <v>148</v>
      </c>
    </row>
    <row r="7" spans="1:42" ht="15.5" x14ac:dyDescent="0.35">
      <c r="A7" s="54" t="s">
        <v>162</v>
      </c>
      <c r="B7" s="44">
        <v>1090</v>
      </c>
      <c r="C7" s="45">
        <v>-6.3887492282487437E-3</v>
      </c>
      <c r="D7" s="44">
        <v>1083.036263341209</v>
      </c>
      <c r="E7" s="44">
        <v>1076.1170162496223</v>
      </c>
      <c r="F7" s="44">
        <v>1069.2419744925523</v>
      </c>
      <c r="G7" s="5"/>
      <c r="H7" s="44">
        <v>645</v>
      </c>
      <c r="I7" s="45">
        <v>0.10031614157778201</v>
      </c>
      <c r="J7" s="44">
        <v>709.70391131766939</v>
      </c>
      <c r="K7" s="44">
        <v>780.89866936371834</v>
      </c>
      <c r="L7" s="44">
        <v>859.2354108375107</v>
      </c>
      <c r="M7" s="5"/>
      <c r="N7" s="44">
        <v>1504</v>
      </c>
      <c r="O7" s="45">
        <v>0.29025805842364683</v>
      </c>
      <c r="P7" s="44">
        <v>1940.548119869165</v>
      </c>
      <c r="Q7" s="44">
        <v>2503.8078494200472</v>
      </c>
      <c r="R7" s="44">
        <v>3230.5582544585973</v>
      </c>
      <c r="S7" s="5"/>
      <c r="T7" s="176">
        <v>3846</v>
      </c>
      <c r="U7" s="178">
        <v>-2.6330503118398908E-3</v>
      </c>
      <c r="V7" s="176">
        <v>3835.8732885006639</v>
      </c>
      <c r="W7" s="176">
        <v>3825.7732411421989</v>
      </c>
      <c r="X7" s="176">
        <v>3815.6997877165804</v>
      </c>
      <c r="Y7" s="48"/>
      <c r="Z7" s="165">
        <v>1359</v>
      </c>
      <c r="AA7" s="167">
        <v>2.8143058980192603E-2</v>
      </c>
      <c r="AB7" s="165">
        <v>1397.2464171540817</v>
      </c>
      <c r="AC7" s="165">
        <v>1436.5692054819117</v>
      </c>
      <c r="AD7" s="165">
        <v>1476.9986573609174</v>
      </c>
      <c r="AF7" s="171">
        <v>2649</v>
      </c>
      <c r="AG7" s="173">
        <v>1.9448314200546241E-2</v>
      </c>
      <c r="AH7" s="171">
        <v>2700.5185843172467</v>
      </c>
      <c r="AI7" s="171">
        <v>2753.0391182494627</v>
      </c>
      <c r="AJ7" s="171">
        <v>2806.5810880275726</v>
      </c>
      <c r="AL7" s="25">
        <v>156</v>
      </c>
      <c r="AM7" s="55">
        <v>0</v>
      </c>
      <c r="AN7" s="25">
        <v>156</v>
      </c>
      <c r="AO7" s="25">
        <v>156</v>
      </c>
      <c r="AP7" s="25">
        <v>156</v>
      </c>
    </row>
    <row r="8" spans="1:42" ht="15.5" x14ac:dyDescent="0.35">
      <c r="A8" s="54" t="s">
        <v>163</v>
      </c>
      <c r="B8" s="44">
        <v>1351</v>
      </c>
      <c r="C8" s="45">
        <v>2.1237550381277098E-2</v>
      </c>
      <c r="D8" s="44">
        <v>1379.6919305651054</v>
      </c>
      <c r="E8" s="44">
        <v>1408.9932074511235</v>
      </c>
      <c r="F8" s="44">
        <v>1438.916771681244</v>
      </c>
      <c r="G8" s="5"/>
      <c r="H8" s="44">
        <v>432</v>
      </c>
      <c r="I8" s="45">
        <v>6.3463854783169446E-2</v>
      </c>
      <c r="J8" s="44">
        <v>459.4163852663292</v>
      </c>
      <c r="K8" s="44">
        <v>488.57272002588013</v>
      </c>
      <c r="L8" s="44">
        <v>519.57942818062065</v>
      </c>
      <c r="M8" s="5"/>
      <c r="N8" s="44">
        <v>378</v>
      </c>
      <c r="O8" s="45">
        <v>3.7878878562653949E-2</v>
      </c>
      <c r="P8" s="44">
        <v>392.31821609668322</v>
      </c>
      <c r="Q8" s="44">
        <v>407.17879016212652</v>
      </c>
      <c r="R8" s="44">
        <v>422.6022661079661</v>
      </c>
      <c r="S8" s="5"/>
      <c r="T8" s="176">
        <v>2582</v>
      </c>
      <c r="U8" s="178">
        <v>-2.6330503118398908E-3</v>
      </c>
      <c r="V8" s="176">
        <v>2575.2014640948291</v>
      </c>
      <c r="W8" s="176">
        <v>2568.4208290767438</v>
      </c>
      <c r="X8" s="176">
        <v>2561.6580478118071</v>
      </c>
      <c r="Y8" s="48"/>
      <c r="Z8" s="165">
        <v>1645</v>
      </c>
      <c r="AA8" s="167">
        <v>7.0207727708001318E-3</v>
      </c>
      <c r="AB8" s="165">
        <v>1656.5491712079661</v>
      </c>
      <c r="AC8" s="165">
        <v>1668.1794265226742</v>
      </c>
      <c r="AD8" s="165">
        <v>1679.8913352172135</v>
      </c>
      <c r="AF8" s="171">
        <v>2956</v>
      </c>
      <c r="AG8" s="173">
        <v>1.9448314200546241E-2</v>
      </c>
      <c r="AH8" s="171">
        <v>3013.4892167768144</v>
      </c>
      <c r="AI8" s="171">
        <v>3072.0965019046475</v>
      </c>
      <c r="AJ8" s="171">
        <v>3131.8435999280878</v>
      </c>
      <c r="AL8" s="25">
        <v>469</v>
      </c>
      <c r="AM8" s="55">
        <v>0</v>
      </c>
      <c r="AN8" s="25">
        <v>469</v>
      </c>
      <c r="AO8" s="25">
        <v>469</v>
      </c>
      <c r="AP8" s="25">
        <v>469</v>
      </c>
    </row>
    <row r="9" spans="1:42" ht="15.5" x14ac:dyDescent="0.35">
      <c r="A9" s="54" t="s">
        <v>164</v>
      </c>
      <c r="B9" s="44">
        <v>1775</v>
      </c>
      <c r="C9" s="45">
        <v>3.4081233054878528E-2</v>
      </c>
      <c r="D9" s="44">
        <v>1835.4941886724093</v>
      </c>
      <c r="E9" s="44">
        <v>1898.0500938874288</v>
      </c>
      <c r="F9" s="44">
        <v>1962.7379814870403</v>
      </c>
      <c r="G9" s="5"/>
      <c r="H9" s="44">
        <v>726</v>
      </c>
      <c r="I9" s="45">
        <v>7.3311665842873186E-2</v>
      </c>
      <c r="J9" s="44">
        <v>779.22426940192588</v>
      </c>
      <c r="K9" s="44">
        <v>836.35049865697681</v>
      </c>
      <c r="L9" s="44">
        <v>897.66474694203748</v>
      </c>
      <c r="M9" s="5"/>
      <c r="N9" s="44">
        <v>1210</v>
      </c>
      <c r="O9" s="45">
        <v>0.10180573945086828</v>
      </c>
      <c r="P9" s="44">
        <v>1333.1849447355505</v>
      </c>
      <c r="Q9" s="44">
        <v>1468.9108238591182</v>
      </c>
      <c r="R9" s="44">
        <v>1618.4543764694797</v>
      </c>
      <c r="S9" s="5"/>
      <c r="T9" s="176">
        <v>2442</v>
      </c>
      <c r="U9" s="178">
        <v>-2.6330503118398908E-3</v>
      </c>
      <c r="V9" s="176">
        <v>2435.570091138487</v>
      </c>
      <c r="W9" s="176">
        <v>2429.157112550507</v>
      </c>
      <c r="X9" s="176">
        <v>2422.7610196577975</v>
      </c>
      <c r="Y9" s="48"/>
      <c r="Z9" s="165">
        <v>1597</v>
      </c>
      <c r="AA9" s="167">
        <v>1.9827948044181021E-2</v>
      </c>
      <c r="AB9" s="165">
        <v>1628.665233026557</v>
      </c>
      <c r="AC9" s="165">
        <v>1660.9583226483714</v>
      </c>
      <c r="AD9" s="165">
        <v>1693.8917179733933</v>
      </c>
      <c r="AF9" s="171">
        <v>2131</v>
      </c>
      <c r="AG9" s="173">
        <v>1.9448314200546241E-2</v>
      </c>
      <c r="AH9" s="171">
        <v>2172.4443575613641</v>
      </c>
      <c r="AI9" s="171">
        <v>2214.6947380104211</v>
      </c>
      <c r="AJ9" s="171">
        <v>2257.766817133544</v>
      </c>
      <c r="AL9" s="25">
        <v>255</v>
      </c>
      <c r="AM9" s="55">
        <v>0</v>
      </c>
      <c r="AN9" s="25">
        <v>255</v>
      </c>
      <c r="AO9" s="25">
        <v>255</v>
      </c>
      <c r="AP9" s="25">
        <v>255</v>
      </c>
    </row>
    <row r="10" spans="1:42" ht="15.5" x14ac:dyDescent="0.35">
      <c r="A10" s="54" t="s">
        <v>165</v>
      </c>
      <c r="B10" s="44">
        <v>2170</v>
      </c>
      <c r="C10" s="45">
        <v>0.10615313078897723</v>
      </c>
      <c r="D10" s="44">
        <v>2400.3522938120805</v>
      </c>
      <c r="E10" s="44">
        <v>2655.1572047967356</v>
      </c>
      <c r="F10" s="44">
        <v>2937.0104548228187</v>
      </c>
      <c r="G10" s="5"/>
      <c r="H10" s="44">
        <v>803</v>
      </c>
      <c r="I10" s="45">
        <v>8.8425765539597162E-2</v>
      </c>
      <c r="J10" s="44">
        <v>874.00588972829655</v>
      </c>
      <c r="K10" s="44">
        <v>951.290529613638</v>
      </c>
      <c r="L10" s="44">
        <v>1035.4091229452929</v>
      </c>
      <c r="M10" s="5"/>
      <c r="N10" s="44">
        <v>1462</v>
      </c>
      <c r="O10" s="45">
        <v>0.40916811250100293</v>
      </c>
      <c r="P10" s="44">
        <v>2060.2037804764664</v>
      </c>
      <c r="Q10" s="44">
        <v>2903.1734727014527</v>
      </c>
      <c r="R10" s="44">
        <v>4091.059482789688</v>
      </c>
      <c r="S10" s="5"/>
      <c r="T10" s="176">
        <v>1919</v>
      </c>
      <c r="U10" s="178">
        <v>-2.6330503118398908E-3</v>
      </c>
      <c r="V10" s="176">
        <v>1913.9471764515793</v>
      </c>
      <c r="W10" s="176">
        <v>1908.9076572417782</v>
      </c>
      <c r="X10" s="176">
        <v>1903.8814073396043</v>
      </c>
      <c r="Y10" s="48"/>
      <c r="Z10" s="165">
        <v>1200</v>
      </c>
      <c r="AA10" s="167">
        <v>3.0526423553759296E-2</v>
      </c>
      <c r="AB10" s="165">
        <v>1236.631708264511</v>
      </c>
      <c r="AC10" s="165">
        <v>1274.3816515710023</v>
      </c>
      <c r="AD10" s="165">
        <v>1313.2839656359979</v>
      </c>
      <c r="AF10" s="171">
        <v>1105</v>
      </c>
      <c r="AG10" s="173">
        <v>1.9448314200546241E-2</v>
      </c>
      <c r="AH10" s="171">
        <v>1126.4903871916035</v>
      </c>
      <c r="AI10" s="171">
        <v>1148.3987261856007</v>
      </c>
      <c r="AJ10" s="171">
        <v>1170.7331454399653</v>
      </c>
      <c r="AL10" s="25">
        <v>224</v>
      </c>
      <c r="AM10" s="55">
        <v>0</v>
      </c>
      <c r="AN10" s="25">
        <v>224</v>
      </c>
      <c r="AO10" s="25">
        <v>224</v>
      </c>
      <c r="AP10" s="25">
        <v>224</v>
      </c>
    </row>
    <row r="11" spans="1:42" ht="15.5" x14ac:dyDescent="0.35">
      <c r="A11" s="54" t="s">
        <v>166</v>
      </c>
      <c r="B11" s="44">
        <v>4212</v>
      </c>
      <c r="C11" s="45">
        <v>1.8753888642862593E-2</v>
      </c>
      <c r="D11" s="44">
        <v>4290.9913789637376</v>
      </c>
      <c r="E11" s="44">
        <v>4371.4641534523071</v>
      </c>
      <c r="F11" s="44">
        <v>4453.4461053924178</v>
      </c>
      <c r="G11" s="5"/>
      <c r="H11" s="44">
        <v>1573</v>
      </c>
      <c r="I11" s="45">
        <v>6.7847172536870018E-2</v>
      </c>
      <c r="J11" s="44">
        <v>1679.7236024004967</v>
      </c>
      <c r="K11" s="44">
        <v>1793.6880994668163</v>
      </c>
      <c r="L11" s="44">
        <v>1915.3847654286722</v>
      </c>
      <c r="M11" s="5"/>
      <c r="N11" s="44">
        <v>4359</v>
      </c>
      <c r="O11" s="45">
        <v>0.23313263707986373</v>
      </c>
      <c r="P11" s="44">
        <v>5375.2251650311255</v>
      </c>
      <c r="Q11" s="44">
        <v>6628.3655826528766</v>
      </c>
      <c r="R11" s="44">
        <v>8173.6539304661483</v>
      </c>
      <c r="S11" s="5"/>
      <c r="T11" s="176">
        <v>5849</v>
      </c>
      <c r="U11" s="178">
        <v>-2.6330503118398908E-3</v>
      </c>
      <c r="V11" s="176">
        <v>5833.5992887260481</v>
      </c>
      <c r="W11" s="176">
        <v>5818.2391282997187</v>
      </c>
      <c r="X11" s="176">
        <v>5802.9194119485901</v>
      </c>
      <c r="Y11" s="48"/>
      <c r="Z11" s="165">
        <v>3763</v>
      </c>
      <c r="AA11" s="167">
        <v>-7.6514072733323332E-3</v>
      </c>
      <c r="AB11" s="165">
        <v>3734.2077544304502</v>
      </c>
      <c r="AC11" s="165">
        <v>3705.6358100580669</v>
      </c>
      <c r="AD11" s="165">
        <v>3677.2824812686677</v>
      </c>
      <c r="AF11" s="171">
        <v>4556</v>
      </c>
      <c r="AG11" s="173">
        <v>1.9448314200546241E-2</v>
      </c>
      <c r="AH11" s="171">
        <v>4644.6065194976882</v>
      </c>
      <c r="AI11" s="171">
        <v>4734.9362864267841</v>
      </c>
      <c r="AJ11" s="171">
        <v>4827.0228150447792</v>
      </c>
      <c r="AL11" s="25">
        <v>886</v>
      </c>
      <c r="AM11" s="55">
        <v>0</v>
      </c>
      <c r="AN11" s="25">
        <v>886</v>
      </c>
      <c r="AO11" s="25">
        <v>886</v>
      </c>
      <c r="AP11" s="25">
        <v>886</v>
      </c>
    </row>
    <row r="12" spans="1:42" ht="15.5" x14ac:dyDescent="0.35">
      <c r="A12" s="54" t="s">
        <v>167</v>
      </c>
      <c r="B12" s="44">
        <v>493</v>
      </c>
      <c r="C12" s="45">
        <v>0.17393368241950555</v>
      </c>
      <c r="D12" s="44">
        <v>578.74930543281619</v>
      </c>
      <c r="E12" s="44">
        <v>679.41330332447706</v>
      </c>
      <c r="F12" s="44">
        <v>797.58616105650378</v>
      </c>
      <c r="G12" s="5"/>
      <c r="H12" s="44">
        <v>0</v>
      </c>
      <c r="I12" s="45">
        <v>6.9642514451975487E-2</v>
      </c>
      <c r="J12" s="44">
        <v>0</v>
      </c>
      <c r="K12" s="44">
        <v>0</v>
      </c>
      <c r="L12" s="44">
        <v>0</v>
      </c>
      <c r="M12" s="5"/>
      <c r="N12" s="44">
        <v>178</v>
      </c>
      <c r="O12" s="45">
        <v>0.14406216874373304</v>
      </c>
      <c r="P12" s="44">
        <v>203.64306603638448</v>
      </c>
      <c r="Q12" s="44">
        <v>232.98032777920929</v>
      </c>
      <c r="R12" s="44">
        <v>266.54397907370799</v>
      </c>
      <c r="S12" s="5"/>
      <c r="T12" s="176">
        <v>559</v>
      </c>
      <c r="U12" s="178">
        <v>-2.6330503118398908E-3</v>
      </c>
      <c r="V12" s="176">
        <v>557.52812487568144</v>
      </c>
      <c r="W12" s="176">
        <v>556.06012527261805</v>
      </c>
      <c r="X12" s="176">
        <v>554.59599098636727</v>
      </c>
      <c r="Y12" s="48"/>
      <c r="Z12" s="165">
        <v>138</v>
      </c>
      <c r="AA12" s="167">
        <v>3.9283081305275134E-3</v>
      </c>
      <c r="AB12" s="165">
        <v>138.5421065220128</v>
      </c>
      <c r="AC12" s="165">
        <v>139.08634260548362</v>
      </c>
      <c r="AD12" s="165">
        <v>139.63271661598608</v>
      </c>
      <c r="AF12" s="171">
        <v>840</v>
      </c>
      <c r="AG12" s="173">
        <v>1.9448314200546241E-2</v>
      </c>
      <c r="AH12" s="171">
        <v>856.33658392845882</v>
      </c>
      <c r="AI12" s="171">
        <v>872.99088687412188</v>
      </c>
      <c r="AJ12" s="171">
        <v>889.96908793626324</v>
      </c>
      <c r="AL12" s="25">
        <v>33</v>
      </c>
      <c r="AM12" s="55">
        <v>0</v>
      </c>
      <c r="AN12" s="25">
        <v>33</v>
      </c>
      <c r="AO12" s="25">
        <v>33</v>
      </c>
      <c r="AP12" s="25">
        <v>33</v>
      </c>
    </row>
    <row r="13" spans="1:42" ht="15.5" x14ac:dyDescent="0.35">
      <c r="A13" s="54" t="s">
        <v>168</v>
      </c>
      <c r="B13" s="44">
        <v>2308</v>
      </c>
      <c r="C13" s="45">
        <v>4.4297765734708408E-2</v>
      </c>
      <c r="D13" s="44">
        <v>2410.239243315707</v>
      </c>
      <c r="E13" s="44">
        <v>2517.007456680707</v>
      </c>
      <c r="F13" s="44">
        <v>2628.5052633492633</v>
      </c>
      <c r="G13" s="5"/>
      <c r="H13" s="44">
        <v>1280</v>
      </c>
      <c r="I13" s="45">
        <v>9.4561951236432171E-2</v>
      </c>
      <c r="J13" s="44">
        <v>1401.0392975826333</v>
      </c>
      <c r="K13" s="44">
        <v>1533.5243073209674</v>
      </c>
      <c r="L13" s="44">
        <v>1678.5373580897362</v>
      </c>
      <c r="M13" s="5"/>
      <c r="N13" s="44">
        <v>1703</v>
      </c>
      <c r="O13" s="45">
        <v>0.17762205076644713</v>
      </c>
      <c r="P13" s="44">
        <v>2005.4903524552597</v>
      </c>
      <c r="Q13" s="44">
        <v>2361.7096616506878</v>
      </c>
      <c r="R13" s="44">
        <v>2781.2013750680153</v>
      </c>
      <c r="S13" s="5"/>
      <c r="T13" s="176">
        <v>4526</v>
      </c>
      <c r="U13" s="178">
        <v>-2.6330503118398908E-3</v>
      </c>
      <c r="V13" s="176">
        <v>4514.082814288613</v>
      </c>
      <c r="W13" s="176">
        <v>4502.1970071267788</v>
      </c>
      <c r="X13" s="176">
        <v>4490.3424958931992</v>
      </c>
      <c r="Y13" s="48"/>
      <c r="Z13" s="165">
        <v>3564</v>
      </c>
      <c r="AA13" s="167">
        <v>2.6633350844566396E-2</v>
      </c>
      <c r="AB13" s="165">
        <v>3658.9212624100346</v>
      </c>
      <c r="AC13" s="165">
        <v>3756.3705961044448</v>
      </c>
      <c r="AD13" s="165">
        <v>3856.4153320927076</v>
      </c>
      <c r="AF13" s="171">
        <v>3517</v>
      </c>
      <c r="AG13" s="173">
        <v>1.9448314200546241E-2</v>
      </c>
      <c r="AH13" s="171">
        <v>3585.3997210433208</v>
      </c>
      <c r="AI13" s="171">
        <v>3655.1297013527219</v>
      </c>
      <c r="AJ13" s="171">
        <v>3726.2158122283781</v>
      </c>
      <c r="AL13" s="25">
        <v>805</v>
      </c>
      <c r="AM13" s="55">
        <v>0</v>
      </c>
      <c r="AN13" s="25">
        <v>805</v>
      </c>
      <c r="AO13" s="25">
        <v>805</v>
      </c>
      <c r="AP13" s="25">
        <v>805</v>
      </c>
    </row>
    <row r="14" spans="1:42" ht="15.5" x14ac:dyDescent="0.35">
      <c r="A14" s="54" t="s">
        <v>169</v>
      </c>
      <c r="B14" s="44">
        <v>145</v>
      </c>
      <c r="C14" s="45">
        <v>-1.683665008957012E-2</v>
      </c>
      <c r="D14" s="44">
        <v>142.55868573701233</v>
      </c>
      <c r="E14" s="44">
        <v>140.15847502802924</v>
      </c>
      <c r="F14" s="44">
        <v>137.79867582689457</v>
      </c>
      <c r="G14" s="5"/>
      <c r="H14" s="44">
        <v>59</v>
      </c>
      <c r="I14" s="45">
        <v>6.9885619009114969E-2</v>
      </c>
      <c r="J14" s="44">
        <v>63.123251521537789</v>
      </c>
      <c r="K14" s="44">
        <v>67.534659027988525</v>
      </c>
      <c r="L14" s="44">
        <v>72.254360478729026</v>
      </c>
      <c r="M14" s="5"/>
      <c r="N14" s="44">
        <v>66</v>
      </c>
      <c r="O14" s="45">
        <v>0.15295552066980642</v>
      </c>
      <c r="P14" s="44">
        <v>76.095064364207218</v>
      </c>
      <c r="Q14" s="44">
        <v>87.734224554436963</v>
      </c>
      <c r="R14" s="44">
        <v>101.15365855172257</v>
      </c>
      <c r="S14" s="5"/>
      <c r="T14" s="176">
        <v>227</v>
      </c>
      <c r="U14" s="178">
        <v>-2.6330503118398908E-3</v>
      </c>
      <c r="V14" s="176">
        <v>226.40229757921233</v>
      </c>
      <c r="W14" s="176">
        <v>225.8061689389701</v>
      </c>
      <c r="X14" s="176">
        <v>225.21160993542998</v>
      </c>
      <c r="Y14" s="48"/>
      <c r="Z14" s="165">
        <v>112</v>
      </c>
      <c r="AA14" s="167">
        <v>-7.1760968131272446E-2</v>
      </c>
      <c r="AB14" s="165">
        <v>103.96277156929749</v>
      </c>
      <c r="AC14" s="165">
        <v>96.502302431874369</v>
      </c>
      <c r="AD14" s="165">
        <v>89.577203782466214</v>
      </c>
      <c r="AF14" s="171">
        <v>152</v>
      </c>
      <c r="AG14" s="173">
        <v>1.9448314200546241E-2</v>
      </c>
      <c r="AH14" s="171">
        <v>154.95614375848302</v>
      </c>
      <c r="AI14" s="171">
        <v>157.96977952960299</v>
      </c>
      <c r="AJ14" s="171">
        <v>161.04202543608571</v>
      </c>
      <c r="AL14" s="25">
        <v>30</v>
      </c>
      <c r="AM14" s="55">
        <v>0</v>
      </c>
      <c r="AN14" s="25">
        <v>30</v>
      </c>
      <c r="AO14" s="25">
        <v>30</v>
      </c>
      <c r="AP14" s="25">
        <v>30</v>
      </c>
    </row>
    <row r="15" spans="1:42" ht="15.5" x14ac:dyDescent="0.35">
      <c r="A15" s="54" t="s">
        <v>170</v>
      </c>
      <c r="B15" s="44">
        <v>428</v>
      </c>
      <c r="C15" s="45">
        <v>-4.171107612303511E-2</v>
      </c>
      <c r="D15" s="44">
        <v>410.14765941934098</v>
      </c>
      <c r="E15" s="44">
        <v>393.03995917561616</v>
      </c>
      <c r="F15" s="44">
        <v>376.6458395190474</v>
      </c>
      <c r="G15" s="5"/>
      <c r="H15" s="44">
        <v>476</v>
      </c>
      <c r="I15" s="45">
        <v>0.13844272678057287</v>
      </c>
      <c r="J15" s="44">
        <v>541.8987379475526</v>
      </c>
      <c r="K15" s="44">
        <v>616.92067686796281</v>
      </c>
      <c r="L15" s="44">
        <v>702.32885758088025</v>
      </c>
      <c r="M15" s="5"/>
      <c r="N15" s="44">
        <v>200</v>
      </c>
      <c r="O15" s="45">
        <v>7.07625077428959E-2</v>
      </c>
      <c r="P15" s="44">
        <v>214.15250154857918</v>
      </c>
      <c r="Q15" s="44">
        <v>229.30646959757104</v>
      </c>
      <c r="R15" s="44">
        <v>245.53277042796529</v>
      </c>
      <c r="S15" s="5"/>
      <c r="T15" s="176">
        <v>1628</v>
      </c>
      <c r="U15" s="178">
        <v>-2.6330503118398908E-3</v>
      </c>
      <c r="V15" s="176">
        <v>1623.7133940923247</v>
      </c>
      <c r="W15" s="176">
        <v>1619.4380750336713</v>
      </c>
      <c r="X15" s="176">
        <v>1615.1740131051986</v>
      </c>
      <c r="Y15" s="48"/>
      <c r="Z15" s="165">
        <v>588</v>
      </c>
      <c r="AA15" s="167">
        <v>-1.4612019610111382E-3</v>
      </c>
      <c r="AB15" s="165">
        <v>587.1408132469254</v>
      </c>
      <c r="AC15" s="165">
        <v>586.28288193921935</v>
      </c>
      <c r="AD15" s="165">
        <v>585.4262042424225</v>
      </c>
      <c r="AF15" s="171">
        <v>1182</v>
      </c>
      <c r="AG15" s="173">
        <v>1.9448314200546241E-2</v>
      </c>
      <c r="AH15" s="171">
        <v>1204.9879073850454</v>
      </c>
      <c r="AI15" s="171">
        <v>1228.4228908157284</v>
      </c>
      <c r="AJ15" s="171">
        <v>1252.3136451674559</v>
      </c>
      <c r="AL15" s="25">
        <v>79</v>
      </c>
      <c r="AM15" s="55">
        <v>0</v>
      </c>
      <c r="AN15" s="25">
        <v>79</v>
      </c>
      <c r="AO15" s="25">
        <v>79</v>
      </c>
      <c r="AP15" s="25">
        <v>79</v>
      </c>
    </row>
    <row r="16" spans="1:42" ht="15.5" x14ac:dyDescent="0.35">
      <c r="A16" s="54" t="s">
        <v>171</v>
      </c>
      <c r="B16" s="44">
        <v>2434</v>
      </c>
      <c r="C16" s="45">
        <v>7.85093628963002E-2</v>
      </c>
      <c r="D16" s="44">
        <v>2625.091789289595</v>
      </c>
      <c r="E16" s="44">
        <v>2831.1860732110299</v>
      </c>
      <c r="F16" s="44">
        <v>3053.4606880597062</v>
      </c>
      <c r="G16" s="5"/>
      <c r="H16" s="44">
        <v>349</v>
      </c>
      <c r="I16" s="45">
        <v>3.5702615167008733E-2</v>
      </c>
      <c r="J16" s="44">
        <v>361.46021269328605</v>
      </c>
      <c r="K16" s="44">
        <v>374.36528756525956</v>
      </c>
      <c r="L16" s="44">
        <v>387.73110735908858</v>
      </c>
      <c r="M16" s="5"/>
      <c r="N16" s="44">
        <v>558</v>
      </c>
      <c r="O16" s="45">
        <v>2.9154518152188967E-2</v>
      </c>
      <c r="P16" s="44">
        <v>574.26822112892148</v>
      </c>
      <c r="Q16" s="44">
        <v>591.01073440604989</v>
      </c>
      <c r="R16" s="44">
        <v>608.2413675904296</v>
      </c>
      <c r="S16" s="5"/>
      <c r="T16" s="176">
        <v>2626</v>
      </c>
      <c r="U16" s="178">
        <v>-2.6330503118398908E-3</v>
      </c>
      <c r="V16" s="176">
        <v>2619.0856098811082</v>
      </c>
      <c r="W16" s="176">
        <v>2612.1894256992755</v>
      </c>
      <c r="X16" s="176">
        <v>2605.311399517353</v>
      </c>
      <c r="Y16" s="48"/>
      <c r="Z16" s="165">
        <v>2148</v>
      </c>
      <c r="AA16" s="167">
        <v>1.9478744952491599E-2</v>
      </c>
      <c r="AB16" s="165">
        <v>2189.8403441579521</v>
      </c>
      <c r="AC16" s="165">
        <v>2232.4956857084812</v>
      </c>
      <c r="AD16" s="165">
        <v>2275.9818997779344</v>
      </c>
      <c r="AF16" s="171">
        <v>2178</v>
      </c>
      <c r="AG16" s="173">
        <v>1.9448314200546241E-2</v>
      </c>
      <c r="AH16" s="171">
        <v>2220.3584283287896</v>
      </c>
      <c r="AI16" s="171">
        <v>2263.5406566807587</v>
      </c>
      <c r="AJ16" s="171">
        <v>2307.5627065775966</v>
      </c>
      <c r="AL16" s="25">
        <v>487</v>
      </c>
      <c r="AM16" s="55">
        <v>0</v>
      </c>
      <c r="AN16" s="25">
        <v>487</v>
      </c>
      <c r="AO16" s="25">
        <v>487</v>
      </c>
      <c r="AP16" s="25">
        <v>487</v>
      </c>
    </row>
    <row r="17" spans="1:42" ht="15.5" x14ac:dyDescent="0.35">
      <c r="A17" s="54" t="s">
        <v>172</v>
      </c>
      <c r="B17" s="44">
        <v>166</v>
      </c>
      <c r="C17" s="45">
        <v>3.1925167806932123E-2</v>
      </c>
      <c r="D17" s="44">
        <v>171.29957785595073</v>
      </c>
      <c r="E17" s="44">
        <v>176.76834562425859</v>
      </c>
      <c r="F17" s="44">
        <v>182.4117047212668</v>
      </c>
      <c r="G17" s="5"/>
      <c r="H17" s="44">
        <v>26</v>
      </c>
      <c r="I17" s="45">
        <v>2.7381262199089134E-2</v>
      </c>
      <c r="J17" s="44">
        <v>26.711912817176319</v>
      </c>
      <c r="K17" s="44">
        <v>27.443318705862637</v>
      </c>
      <c r="L17" s="44">
        <v>28.194751410961032</v>
      </c>
      <c r="M17" s="5"/>
      <c r="N17" s="44">
        <v>8</v>
      </c>
      <c r="O17" s="45">
        <v>0.4</v>
      </c>
      <c r="P17" s="44">
        <v>11.2</v>
      </c>
      <c r="Q17" s="44">
        <v>15.679999999999998</v>
      </c>
      <c r="R17" s="44">
        <v>21.951999999999995</v>
      </c>
      <c r="S17" s="5"/>
      <c r="T17" s="176">
        <v>338</v>
      </c>
      <c r="U17" s="178">
        <v>-2.6330503118398908E-3</v>
      </c>
      <c r="V17" s="176">
        <v>337.11002899459811</v>
      </c>
      <c r="W17" s="176">
        <v>336.22240132762954</v>
      </c>
      <c r="X17" s="176">
        <v>335.33711082896627</v>
      </c>
      <c r="Y17" s="48"/>
      <c r="Z17" s="165">
        <v>95</v>
      </c>
      <c r="AA17" s="167">
        <v>-3.8972692346095905E-2</v>
      </c>
      <c r="AB17" s="165">
        <v>91.297594227120882</v>
      </c>
      <c r="AC17" s="165">
        <v>87.739481175368596</v>
      </c>
      <c r="AD17" s="165">
        <v>84.320037368914882</v>
      </c>
      <c r="AF17" s="171">
        <v>336</v>
      </c>
      <c r="AG17" s="173">
        <v>1.9448314200546241E-2</v>
      </c>
      <c r="AH17" s="171">
        <v>342.53463357138349</v>
      </c>
      <c r="AI17" s="171">
        <v>349.19635474964872</v>
      </c>
      <c r="AJ17" s="171">
        <v>355.98763517450527</v>
      </c>
      <c r="AL17" s="25">
        <v>51</v>
      </c>
      <c r="AM17" s="55">
        <v>0</v>
      </c>
      <c r="AN17" s="25">
        <v>51</v>
      </c>
      <c r="AO17" s="25">
        <v>51</v>
      </c>
      <c r="AP17" s="25">
        <v>51</v>
      </c>
    </row>
    <row r="18" spans="1:42" ht="15.5" x14ac:dyDescent="0.35">
      <c r="A18" s="54" t="s">
        <v>173</v>
      </c>
      <c r="B18" s="44">
        <v>2085</v>
      </c>
      <c r="C18" s="45">
        <v>2.1659073978573078E-2</v>
      </c>
      <c r="D18" s="44">
        <v>2130.1591692453248</v>
      </c>
      <c r="E18" s="44">
        <v>2176.2964442781454</v>
      </c>
      <c r="F18" s="44">
        <v>2223.4330099640715</v>
      </c>
      <c r="G18" s="5"/>
      <c r="H18" s="44">
        <v>1070</v>
      </c>
      <c r="I18" s="45">
        <v>8.552859938728212E-2</v>
      </c>
      <c r="J18" s="44">
        <v>1161.5156013443918</v>
      </c>
      <c r="K18" s="44">
        <v>1260.8584038938543</v>
      </c>
      <c r="L18" s="44">
        <v>1368.6978572045796</v>
      </c>
      <c r="M18" s="5"/>
      <c r="N18" s="44">
        <v>682</v>
      </c>
      <c r="O18" s="45">
        <v>-3.6454185693922558E-2</v>
      </c>
      <c r="P18" s="44">
        <v>657.13824535674485</v>
      </c>
      <c r="Q18" s="44">
        <v>633.18280573393167</v>
      </c>
      <c r="R18" s="44">
        <v>610.10064215550801</v>
      </c>
      <c r="S18" s="5"/>
      <c r="T18" s="176">
        <v>5908</v>
      </c>
      <c r="U18" s="178">
        <v>-2.6330503118398908E-3</v>
      </c>
      <c r="V18" s="176">
        <v>5892.4439387576494</v>
      </c>
      <c r="W18" s="176">
        <v>5876.9288374072048</v>
      </c>
      <c r="X18" s="176">
        <v>5861.4545880992091</v>
      </c>
      <c r="Y18" s="48"/>
      <c r="Z18" s="165">
        <v>3919</v>
      </c>
      <c r="AA18" s="167">
        <v>1.6171220288895994E-2</v>
      </c>
      <c r="AB18" s="165">
        <v>3982.3750123121831</v>
      </c>
      <c r="AC18" s="165">
        <v>4046.7748759092783</v>
      </c>
      <c r="AD18" s="165">
        <v>4112.2161638871767</v>
      </c>
      <c r="AF18" s="171">
        <v>5949</v>
      </c>
      <c r="AG18" s="173">
        <v>1.9448314200546241E-2</v>
      </c>
      <c r="AH18" s="171">
        <v>6064.6980211790487</v>
      </c>
      <c r="AI18" s="171">
        <v>6182.6461738263697</v>
      </c>
      <c r="AJ18" s="171">
        <v>6302.888219205749</v>
      </c>
      <c r="AL18" s="25">
        <v>1037</v>
      </c>
      <c r="AM18" s="55">
        <v>0</v>
      </c>
      <c r="AN18" s="25">
        <v>1037</v>
      </c>
      <c r="AO18" s="25">
        <v>1037</v>
      </c>
      <c r="AP18" s="25">
        <v>1037</v>
      </c>
    </row>
    <row r="19" spans="1:42" ht="15.5" x14ac:dyDescent="0.35">
      <c r="A19" s="54" t="s">
        <v>174</v>
      </c>
      <c r="B19" s="44">
        <v>365</v>
      </c>
      <c r="C19" s="45">
        <v>-1.6120047693675803E-2</v>
      </c>
      <c r="D19" s="44">
        <v>359.11618259180835</v>
      </c>
      <c r="E19" s="44">
        <v>353.32721260085759</v>
      </c>
      <c r="F19" s="44">
        <v>347.63156108225826</v>
      </c>
      <c r="G19" s="5"/>
      <c r="H19" s="44">
        <v>157</v>
      </c>
      <c r="I19" s="45">
        <v>6.8767022774128966E-2</v>
      </c>
      <c r="J19" s="44">
        <v>167.79642257553826</v>
      </c>
      <c r="K19" s="44">
        <v>179.33528298820767</v>
      </c>
      <c r="L19" s="44">
        <v>191.66763647766263</v>
      </c>
      <c r="M19" s="5"/>
      <c r="N19" s="44">
        <v>562</v>
      </c>
      <c r="O19" s="45">
        <v>0.36848678269228197</v>
      </c>
      <c r="P19" s="44">
        <v>769.08957187306248</v>
      </c>
      <c r="Q19" s="44">
        <v>1052.4889138147519</v>
      </c>
      <c r="R19" s="44">
        <v>1440.3171674856442</v>
      </c>
      <c r="S19" s="5"/>
      <c r="T19" s="176">
        <v>813</v>
      </c>
      <c r="U19" s="178">
        <v>-2.6330503118398908E-3</v>
      </c>
      <c r="V19" s="176">
        <v>810.8593300964742</v>
      </c>
      <c r="W19" s="176">
        <v>808.72429668450536</v>
      </c>
      <c r="X19" s="176">
        <v>806.59488492292769</v>
      </c>
      <c r="Y19" s="48"/>
      <c r="Z19" s="165">
        <v>359</v>
      </c>
      <c r="AA19" s="167">
        <v>3.1274781736463433E-2</v>
      </c>
      <c r="AB19" s="165">
        <v>370.22764664339036</v>
      </c>
      <c r="AC19" s="165">
        <v>381.80643548496687</v>
      </c>
      <c r="AD19" s="165">
        <v>393.74734842033627</v>
      </c>
      <c r="AF19" s="171">
        <v>2286</v>
      </c>
      <c r="AG19" s="173">
        <v>1.9448314200546241E-2</v>
      </c>
      <c r="AH19" s="171">
        <v>2330.4588462624483</v>
      </c>
      <c r="AI19" s="171">
        <v>2375.7823421360026</v>
      </c>
      <c r="AJ19" s="171">
        <v>2421.9873035979731</v>
      </c>
      <c r="AL19" s="25">
        <v>79</v>
      </c>
      <c r="AM19" s="55">
        <v>0</v>
      </c>
      <c r="AN19" s="25">
        <v>79</v>
      </c>
      <c r="AO19" s="25">
        <v>79</v>
      </c>
      <c r="AP19" s="25">
        <v>79</v>
      </c>
    </row>
    <row r="20" spans="1:42" ht="15.5" x14ac:dyDescent="0.35">
      <c r="A20" s="54" t="s">
        <v>175</v>
      </c>
      <c r="B20" s="44">
        <v>382</v>
      </c>
      <c r="C20" s="45">
        <v>-2.0636994242022779E-2</v>
      </c>
      <c r="D20" s="44">
        <v>374.11666819954729</v>
      </c>
      <c r="E20" s="44">
        <v>366.39602467206845</v>
      </c>
      <c r="F20" s="44">
        <v>358.83471202061094</v>
      </c>
      <c r="G20" s="5"/>
      <c r="H20" s="44">
        <v>467</v>
      </c>
      <c r="I20" s="45">
        <v>0.1712399327122815</v>
      </c>
      <c r="J20" s="44">
        <v>546.96904857663549</v>
      </c>
      <c r="K20" s="44">
        <v>640.63199165059916</v>
      </c>
      <c r="L20" s="44">
        <v>750.33377079418267</v>
      </c>
      <c r="M20" s="5"/>
      <c r="N20" s="44">
        <v>241</v>
      </c>
      <c r="O20" s="45">
        <v>-2.3120033631549443E-2</v>
      </c>
      <c r="P20" s="44">
        <v>235.42807189479657</v>
      </c>
      <c r="Q20" s="44">
        <v>229.98496695477803</v>
      </c>
      <c r="R20" s="44">
        <v>224.66770678403276</v>
      </c>
      <c r="S20" s="5"/>
      <c r="T20" s="176">
        <v>2327</v>
      </c>
      <c r="U20" s="178">
        <v>-2.6330503118398908E-3</v>
      </c>
      <c r="V20" s="176">
        <v>2320.8728919243486</v>
      </c>
      <c r="W20" s="176">
        <v>2314.7619168325264</v>
      </c>
      <c r="X20" s="176">
        <v>2308.6670322455752</v>
      </c>
      <c r="Y20" s="48"/>
      <c r="Z20" s="165">
        <v>1478</v>
      </c>
      <c r="AA20" s="167">
        <v>1.3295897322662342E-2</v>
      </c>
      <c r="AB20" s="165">
        <v>1497.6513362428948</v>
      </c>
      <c r="AC20" s="165">
        <v>1517.5639546347281</v>
      </c>
      <c r="AD20" s="165">
        <v>1537.7413291561247</v>
      </c>
      <c r="AF20" s="171">
        <v>1632</v>
      </c>
      <c r="AG20" s="173">
        <v>1.9448314200546241E-2</v>
      </c>
      <c r="AH20" s="171">
        <v>1663.7396487752912</v>
      </c>
      <c r="AI20" s="171">
        <v>1696.0965802125795</v>
      </c>
      <c r="AJ20" s="171">
        <v>1729.0827994190256</v>
      </c>
      <c r="AL20" s="25">
        <v>260</v>
      </c>
      <c r="AM20" s="55">
        <v>0</v>
      </c>
      <c r="AN20" s="25">
        <v>260</v>
      </c>
      <c r="AO20" s="25">
        <v>260</v>
      </c>
      <c r="AP20" s="25">
        <v>260</v>
      </c>
    </row>
    <row r="21" spans="1:42" ht="15.5" x14ac:dyDescent="0.35">
      <c r="A21" s="54" t="s">
        <v>176</v>
      </c>
      <c r="B21" s="44">
        <v>2125</v>
      </c>
      <c r="C21" s="45">
        <v>5.8149143948058736E-2</v>
      </c>
      <c r="D21" s="44">
        <v>2248.5669308896249</v>
      </c>
      <c r="E21" s="44">
        <v>2379.3191730307703</v>
      </c>
      <c r="F21" s="44">
        <v>2517.6745461217129</v>
      </c>
      <c r="G21" s="5"/>
      <c r="H21" s="44">
        <v>920</v>
      </c>
      <c r="I21" s="45">
        <v>8.3181292211303909E-2</v>
      </c>
      <c r="J21" s="44">
        <v>996.52678883439967</v>
      </c>
      <c r="K21" s="44">
        <v>1079.4191748528262</v>
      </c>
      <c r="L21" s="44">
        <v>1169.2066566547437</v>
      </c>
      <c r="M21" s="5"/>
      <c r="N21" s="44">
        <v>1497</v>
      </c>
      <c r="O21" s="45">
        <v>0.10749326011733733</v>
      </c>
      <c r="P21" s="44">
        <v>1657.9174103956539</v>
      </c>
      <c r="Q21" s="44">
        <v>1836.1323578443762</v>
      </c>
      <c r="R21" s="44">
        <v>2033.5042109960016</v>
      </c>
      <c r="S21" s="5"/>
      <c r="T21" s="176">
        <v>2407</v>
      </c>
      <c r="U21" s="178">
        <v>-2.6330503118398908E-3</v>
      </c>
      <c r="V21" s="176">
        <v>2400.6622478994013</v>
      </c>
      <c r="W21" s="176">
        <v>2394.3411834189474</v>
      </c>
      <c r="X21" s="176">
        <v>2388.0367626192951</v>
      </c>
      <c r="Y21" s="48"/>
      <c r="Z21" s="165">
        <v>1855</v>
      </c>
      <c r="AA21" s="167">
        <v>1.5644720374868325E-2</v>
      </c>
      <c r="AB21" s="165">
        <v>1884.020956295381</v>
      </c>
      <c r="AC21" s="165">
        <v>1913.4959373370143</v>
      </c>
      <c r="AD21" s="165">
        <v>1943.4320462150986</v>
      </c>
      <c r="AF21" s="171">
        <v>1989</v>
      </c>
      <c r="AG21" s="173">
        <v>1.9448314200546241E-2</v>
      </c>
      <c r="AH21" s="171">
        <v>2027.6826969448864</v>
      </c>
      <c r="AI21" s="171">
        <v>2067.1177071340812</v>
      </c>
      <c r="AJ21" s="171">
        <v>2107.3196617919375</v>
      </c>
      <c r="AL21" s="25">
        <v>546</v>
      </c>
      <c r="AM21" s="55">
        <v>0</v>
      </c>
      <c r="AN21" s="25">
        <v>546</v>
      </c>
      <c r="AO21" s="25">
        <v>546</v>
      </c>
      <c r="AP21" s="25">
        <v>546</v>
      </c>
    </row>
    <row r="22" spans="1:42" ht="15.5" x14ac:dyDescent="0.35">
      <c r="A22" s="54" t="s">
        <v>177</v>
      </c>
      <c r="B22" s="44">
        <v>550</v>
      </c>
      <c r="C22" s="45">
        <v>1.5923166855361936E-4</v>
      </c>
      <c r="D22" s="44">
        <v>550.08757741770455</v>
      </c>
      <c r="E22" s="44">
        <v>550.17516878050742</v>
      </c>
      <c r="F22" s="44">
        <v>550.26277409062914</v>
      </c>
      <c r="G22" s="5"/>
      <c r="H22" s="44">
        <v>402</v>
      </c>
      <c r="I22" s="45">
        <v>0.11180679940428032</v>
      </c>
      <c r="J22" s="44">
        <v>446.94633336052073</v>
      </c>
      <c r="K22" s="44">
        <v>496.91797239903912</v>
      </c>
      <c r="L22" s="44">
        <v>552.47678045944019</v>
      </c>
      <c r="M22" s="5"/>
      <c r="N22" s="44">
        <v>673</v>
      </c>
      <c r="O22" s="45">
        <v>0.21920614568122629</v>
      </c>
      <c r="P22" s="44">
        <v>820.52573604346526</v>
      </c>
      <c r="Q22" s="44">
        <v>1000.3900200738044</v>
      </c>
      <c r="R22" s="44">
        <v>1219.6816605521476</v>
      </c>
      <c r="S22" s="5"/>
      <c r="T22" s="176">
        <v>869</v>
      </c>
      <c r="U22" s="178">
        <v>-2.6330503118398908E-3</v>
      </c>
      <c r="V22" s="176">
        <v>866.7118792790111</v>
      </c>
      <c r="W22" s="176">
        <v>864.42978329500011</v>
      </c>
      <c r="X22" s="176">
        <v>862.15369618453155</v>
      </c>
      <c r="Y22" s="48"/>
      <c r="Z22" s="165">
        <v>773</v>
      </c>
      <c r="AA22" s="167">
        <v>7.5455046318461713E-2</v>
      </c>
      <c r="AB22" s="165">
        <v>831.32675080417096</v>
      </c>
      <c r="AC22" s="165">
        <v>894.05454929187601</v>
      </c>
      <c r="AD22" s="165">
        <v>961.51547671992603</v>
      </c>
      <c r="AF22" s="171">
        <v>2443</v>
      </c>
      <c r="AG22" s="173">
        <v>1.9448314200546241E-2</v>
      </c>
      <c r="AH22" s="171">
        <v>2490.5122315919343</v>
      </c>
      <c r="AI22" s="171">
        <v>2538.9484959922374</v>
      </c>
      <c r="AJ22" s="171">
        <v>2588.3267640812987</v>
      </c>
      <c r="AL22" s="25">
        <v>196</v>
      </c>
      <c r="AM22" s="55">
        <v>0</v>
      </c>
      <c r="AN22" s="25">
        <v>196</v>
      </c>
      <c r="AO22" s="25">
        <v>196</v>
      </c>
      <c r="AP22" s="25">
        <v>196</v>
      </c>
    </row>
    <row r="23" spans="1:42" ht="15.5" x14ac:dyDescent="0.35">
      <c r="A23" s="54" t="s">
        <v>178</v>
      </c>
      <c r="B23" s="44">
        <v>952</v>
      </c>
      <c r="C23" s="45">
        <v>8.1525352043760213E-2</v>
      </c>
      <c r="D23" s="44">
        <v>1029.6121351456597</v>
      </c>
      <c r="E23" s="44">
        <v>1113.5516269319373</v>
      </c>
      <c r="F23" s="44">
        <v>1204.3343153364654</v>
      </c>
      <c r="G23" s="5"/>
      <c r="H23" s="44">
        <v>368</v>
      </c>
      <c r="I23" s="45">
        <v>8.1663896034613825E-2</v>
      </c>
      <c r="J23" s="44">
        <v>398.05231374073793</v>
      </c>
      <c r="K23" s="44">
        <v>430.55881650639907</v>
      </c>
      <c r="L23" s="44">
        <v>465.71992693436403</v>
      </c>
      <c r="M23" s="5"/>
      <c r="N23" s="44">
        <v>582</v>
      </c>
      <c r="O23" s="45">
        <v>0.1334754150989047</v>
      </c>
      <c r="P23" s="44">
        <v>659.68269158756266</v>
      </c>
      <c r="Q23" s="44">
        <v>747.73411268077541</v>
      </c>
      <c r="R23" s="44">
        <v>847.53823375445313</v>
      </c>
      <c r="S23" s="5"/>
      <c r="T23" s="176">
        <v>1249</v>
      </c>
      <c r="U23" s="178">
        <v>-2.6330503118398908E-3</v>
      </c>
      <c r="V23" s="176">
        <v>1245.7113201605121</v>
      </c>
      <c r="W23" s="176">
        <v>1242.431299580501</v>
      </c>
      <c r="X23" s="176">
        <v>1239.1599154597009</v>
      </c>
      <c r="Y23" s="48"/>
      <c r="Z23" s="165">
        <v>568</v>
      </c>
      <c r="AA23" s="167">
        <v>-3.8946349284972202E-3</v>
      </c>
      <c r="AB23" s="165">
        <v>565.78784736061357</v>
      </c>
      <c r="AC23" s="165">
        <v>563.58431024816366</v>
      </c>
      <c r="AD23" s="165">
        <v>561.38935510831823</v>
      </c>
      <c r="AF23" s="171">
        <v>710</v>
      </c>
      <c r="AG23" s="173">
        <v>1.9448314200546241E-2</v>
      </c>
      <c r="AH23" s="171">
        <v>723.80830308238774</v>
      </c>
      <c r="AI23" s="171">
        <v>737.88515438169816</v>
      </c>
      <c r="AJ23" s="171">
        <v>752.23577670803195</v>
      </c>
      <c r="AL23" s="25">
        <v>115</v>
      </c>
      <c r="AM23" s="55">
        <v>0</v>
      </c>
      <c r="AN23" s="25">
        <v>115</v>
      </c>
      <c r="AO23" s="25">
        <v>115</v>
      </c>
      <c r="AP23" s="25">
        <v>115</v>
      </c>
    </row>
    <row r="24" spans="1:42" ht="15.5" x14ac:dyDescent="0.35">
      <c r="A24" s="54" t="s">
        <v>179</v>
      </c>
      <c r="B24" s="44">
        <v>1329</v>
      </c>
      <c r="C24" s="45">
        <v>-2.1645903919075699E-4</v>
      </c>
      <c r="D24" s="44">
        <v>1328.7123259369155</v>
      </c>
      <c r="E24" s="44">
        <v>1328.4247141434823</v>
      </c>
      <c r="F24" s="44">
        <v>1328.1371646062216</v>
      </c>
      <c r="G24" s="5"/>
      <c r="H24" s="44">
        <v>781</v>
      </c>
      <c r="I24" s="45">
        <v>9.2406706949592424E-2</v>
      </c>
      <c r="J24" s="44">
        <v>853.16963812763163</v>
      </c>
      <c r="K24" s="44">
        <v>932.00823485638148</v>
      </c>
      <c r="L24" s="44">
        <v>1018.132046689362</v>
      </c>
      <c r="M24" s="5"/>
      <c r="N24" s="44">
        <v>536</v>
      </c>
      <c r="O24" s="45">
        <v>8.9929807428889591E-2</v>
      </c>
      <c r="P24" s="44">
        <v>584.20237678188482</v>
      </c>
      <c r="Q24" s="44">
        <v>636.73958402537937</v>
      </c>
      <c r="R24" s="44">
        <v>694.00145219913304</v>
      </c>
      <c r="S24" s="5"/>
      <c r="T24" s="176">
        <v>4734</v>
      </c>
      <c r="U24" s="178">
        <v>-2.6330503118398908E-3</v>
      </c>
      <c r="V24" s="176">
        <v>4721.5351398237499</v>
      </c>
      <c r="W24" s="176">
        <v>4709.1031002514737</v>
      </c>
      <c r="X24" s="176">
        <v>4696.7037948648704</v>
      </c>
      <c r="Y24" s="48"/>
      <c r="Z24" s="165">
        <v>1639</v>
      </c>
      <c r="AA24" s="167">
        <v>9.8445365378675431E-3</v>
      </c>
      <c r="AB24" s="165">
        <v>1655.1351953855651</v>
      </c>
      <c r="AC24" s="165">
        <v>1671.429234291649</v>
      </c>
      <c r="AD24" s="165">
        <v>1687.8836804590933</v>
      </c>
      <c r="AF24" s="171">
        <v>3802</v>
      </c>
      <c r="AG24" s="173">
        <v>1.9448314200546241E-2</v>
      </c>
      <c r="AH24" s="171">
        <v>3875.9424905904766</v>
      </c>
      <c r="AI24" s="171">
        <v>3951.3230379707275</v>
      </c>
      <c r="AJ24" s="171">
        <v>4028.169609921039</v>
      </c>
      <c r="AL24" s="25">
        <v>283</v>
      </c>
      <c r="AM24" s="55">
        <v>0</v>
      </c>
      <c r="AN24" s="25">
        <v>283</v>
      </c>
      <c r="AO24" s="25">
        <v>283</v>
      </c>
      <c r="AP24" s="25">
        <v>283</v>
      </c>
    </row>
    <row r="25" spans="1:42" ht="15.5" x14ac:dyDescent="0.35">
      <c r="A25" s="54" t="s">
        <v>180</v>
      </c>
      <c r="B25" s="44">
        <v>97</v>
      </c>
      <c r="C25" s="45">
        <v>-7.0674186744821649E-2</v>
      </c>
      <c r="D25" s="44">
        <v>90.144603885752304</v>
      </c>
      <c r="E25" s="44">
        <v>83.773707316692679</v>
      </c>
      <c r="F25" s="44">
        <v>77.853068681486718</v>
      </c>
      <c r="G25" s="5"/>
      <c r="H25" s="44">
        <v>48</v>
      </c>
      <c r="I25" s="45">
        <v>6.1606675967894167E-2</v>
      </c>
      <c r="J25" s="44">
        <v>50.957120446458916</v>
      </c>
      <c r="K25" s="44">
        <v>54.096419254060862</v>
      </c>
      <c r="L25" s="44">
        <v>57.42911982606914</v>
      </c>
      <c r="M25" s="5"/>
      <c r="N25" s="44">
        <v>33</v>
      </c>
      <c r="O25" s="45">
        <v>-5.5211365211365229E-2</v>
      </c>
      <c r="P25" s="44">
        <v>31.178024948024945</v>
      </c>
      <c r="Q25" s="44">
        <v>29.456643626050482</v>
      </c>
      <c r="R25" s="44">
        <v>27.830302116911575</v>
      </c>
      <c r="S25" s="5"/>
      <c r="T25" s="176">
        <v>287</v>
      </c>
      <c r="U25" s="178">
        <v>-2.6330503118398908E-3</v>
      </c>
      <c r="V25" s="176">
        <v>286.24431456050195</v>
      </c>
      <c r="W25" s="176">
        <v>285.49061887878599</v>
      </c>
      <c r="X25" s="176">
        <v>284.73890771571985</v>
      </c>
      <c r="Y25" s="48"/>
      <c r="Z25" s="165">
        <v>106</v>
      </c>
      <c r="AA25" s="167">
        <v>-3.3294106155741819E-2</v>
      </c>
      <c r="AB25" s="165">
        <v>102.47082474749136</v>
      </c>
      <c r="AC25" s="165">
        <v>99.059150230481976</v>
      </c>
      <c r="AD25" s="165">
        <v>95.761064367010732</v>
      </c>
      <c r="AF25" s="171">
        <v>897</v>
      </c>
      <c r="AG25" s="173">
        <v>1.9448314200546241E-2</v>
      </c>
      <c r="AH25" s="171">
        <v>914.44513783788989</v>
      </c>
      <c r="AI25" s="171">
        <v>932.2295541977229</v>
      </c>
      <c r="AJ25" s="171">
        <v>950.35984747479529</v>
      </c>
      <c r="AL25" s="25">
        <v>14</v>
      </c>
      <c r="AM25" s="55">
        <v>0</v>
      </c>
      <c r="AN25" s="25">
        <v>14</v>
      </c>
      <c r="AO25" s="25">
        <v>14</v>
      </c>
      <c r="AP25" s="25">
        <v>14</v>
      </c>
    </row>
    <row r="26" spans="1:42" ht="15.5" x14ac:dyDescent="0.35">
      <c r="A26" s="54" t="s">
        <v>181</v>
      </c>
      <c r="B26" s="44">
        <v>206</v>
      </c>
      <c r="C26" s="45">
        <v>7.5262677498863145E-2</v>
      </c>
      <c r="D26" s="44">
        <v>221.50411156476582</v>
      </c>
      <c r="E26" s="44">
        <v>238.175104078137</v>
      </c>
      <c r="F26" s="44">
        <v>256.10080012462799</v>
      </c>
      <c r="G26" s="5"/>
      <c r="H26" s="44">
        <v>47</v>
      </c>
      <c r="I26" s="45">
        <v>4.7241695424891025E-2</v>
      </c>
      <c r="J26" s="44">
        <v>49.220359684969878</v>
      </c>
      <c r="K26" s="44">
        <v>51.545612925910817</v>
      </c>
      <c r="L26" s="44">
        <v>53.980715072246028</v>
      </c>
      <c r="M26" s="5"/>
      <c r="N26" s="44">
        <v>136</v>
      </c>
      <c r="O26" s="45">
        <v>2.9025928358657561E-2</v>
      </c>
      <c r="P26" s="44">
        <v>139.94752625677742</v>
      </c>
      <c r="Q26" s="44">
        <v>144.009633127878</v>
      </c>
      <c r="R26" s="44">
        <v>148.18964642200436</v>
      </c>
      <c r="S26" s="5"/>
      <c r="T26" s="176">
        <v>289</v>
      </c>
      <c r="U26" s="178">
        <v>-2.6330503118398908E-3</v>
      </c>
      <c r="V26" s="176">
        <v>288.23904845987829</v>
      </c>
      <c r="W26" s="176">
        <v>287.48010054344655</v>
      </c>
      <c r="X26" s="176">
        <v>286.72315097506288</v>
      </c>
      <c r="Y26" s="48"/>
      <c r="Z26" s="165">
        <v>86</v>
      </c>
      <c r="AA26" s="167">
        <v>3.2602179347391848E-4</v>
      </c>
      <c r="AB26" s="165">
        <v>86.028037874238763</v>
      </c>
      <c r="AC26" s="165">
        <v>86.056084889435567</v>
      </c>
      <c r="AD26" s="165">
        <v>86.084141048570572</v>
      </c>
      <c r="AF26" s="171">
        <v>388</v>
      </c>
      <c r="AG26" s="173">
        <v>1.9448314200546241E-2</v>
      </c>
      <c r="AH26" s="171">
        <v>395.54594590981191</v>
      </c>
      <c r="AI26" s="171">
        <v>403.23864774661814</v>
      </c>
      <c r="AJ26" s="171">
        <v>411.08095966579771</v>
      </c>
      <c r="AL26" s="25">
        <v>25</v>
      </c>
      <c r="AM26" s="55">
        <v>0</v>
      </c>
      <c r="AN26" s="25">
        <v>25</v>
      </c>
      <c r="AO26" s="25">
        <v>25</v>
      </c>
      <c r="AP26" s="25">
        <v>25</v>
      </c>
    </row>
    <row r="27" spans="1:42" ht="15.5" x14ac:dyDescent="0.35">
      <c r="A27" s="54" t="s">
        <v>182</v>
      </c>
      <c r="B27" s="44">
        <v>749</v>
      </c>
      <c r="C27" s="45">
        <v>-2.7227315180169576E-2</v>
      </c>
      <c r="D27" s="44">
        <v>728.60674093005298</v>
      </c>
      <c r="E27" s="44">
        <v>708.7687355523542</v>
      </c>
      <c r="F27" s="44">
        <v>689.4708657996199</v>
      </c>
      <c r="G27" s="5"/>
      <c r="H27" s="44">
        <v>782</v>
      </c>
      <c r="I27" s="45">
        <v>0.15152262112251519</v>
      </c>
      <c r="J27" s="44">
        <v>900.49068971780684</v>
      </c>
      <c r="K27" s="44">
        <v>1036.9353993202703</v>
      </c>
      <c r="L27" s="44">
        <v>1194.0545689599996</v>
      </c>
      <c r="M27" s="5"/>
      <c r="N27" s="44">
        <v>213</v>
      </c>
      <c r="O27" s="45">
        <v>-9.9575382237435811E-2</v>
      </c>
      <c r="P27" s="44">
        <v>191.79044358342617</v>
      </c>
      <c r="Q27" s="44">
        <v>172.69283685411915</v>
      </c>
      <c r="R27" s="44">
        <v>155.49688161470309</v>
      </c>
      <c r="S27" s="5"/>
      <c r="T27" s="176">
        <v>3020</v>
      </c>
      <c r="U27" s="178">
        <v>-2.6330503118398908E-3</v>
      </c>
      <c r="V27" s="176">
        <v>3012.0481880582433</v>
      </c>
      <c r="W27" s="176">
        <v>3004.1173136373995</v>
      </c>
      <c r="X27" s="176">
        <v>2996.2073216079229</v>
      </c>
      <c r="Y27" s="48"/>
      <c r="Z27" s="165">
        <v>1447</v>
      </c>
      <c r="AA27" s="167">
        <v>4.0577263364916051E-2</v>
      </c>
      <c r="AB27" s="165">
        <v>1505.7153000890335</v>
      </c>
      <c r="AC27" s="165">
        <v>1566.8131063733297</v>
      </c>
      <c r="AD27" s="165">
        <v>1630.3900944342424</v>
      </c>
      <c r="AF27" s="171">
        <v>2235</v>
      </c>
      <c r="AG27" s="173">
        <v>1.9448314200546241E-2</v>
      </c>
      <c r="AH27" s="171">
        <v>2278.4669822382207</v>
      </c>
      <c r="AI27" s="171">
        <v>2322.7793240043598</v>
      </c>
      <c r="AJ27" s="171">
        <v>2367.9534661161288</v>
      </c>
      <c r="AL27" s="25">
        <v>307</v>
      </c>
      <c r="AM27" s="55">
        <v>0</v>
      </c>
      <c r="AN27" s="25">
        <v>307</v>
      </c>
      <c r="AO27" s="25">
        <v>307</v>
      </c>
      <c r="AP27" s="25">
        <v>307</v>
      </c>
    </row>
    <row r="28" spans="1:42" ht="15.5" x14ac:dyDescent="0.35">
      <c r="A28" s="54" t="s">
        <v>183</v>
      </c>
      <c r="B28" s="44">
        <v>8927</v>
      </c>
      <c r="C28" s="45">
        <v>8.5679664862020249E-2</v>
      </c>
      <c r="D28" s="44">
        <v>9691.8623682232537</v>
      </c>
      <c r="E28" s="44">
        <v>10522.257887821448</v>
      </c>
      <c r="F28" s="44">
        <v>11423.801417241739</v>
      </c>
      <c r="G28" s="5"/>
      <c r="H28" s="44">
        <v>2540</v>
      </c>
      <c r="I28" s="45">
        <v>6.5841523599689103E-2</v>
      </c>
      <c r="J28" s="44">
        <v>2707.2374699432107</v>
      </c>
      <c r="K28" s="44">
        <v>2885.4861097104395</v>
      </c>
      <c r="L28" s="44">
        <v>3075.4709114995148</v>
      </c>
      <c r="M28" s="5"/>
      <c r="N28" s="44">
        <v>7983</v>
      </c>
      <c r="O28" s="45">
        <v>0.23680423719484364</v>
      </c>
      <c r="P28" s="44">
        <v>9873.4082255264366</v>
      </c>
      <c r="Q28" s="44">
        <v>12211.473128885518</v>
      </c>
      <c r="R28" s="44">
        <v>15103.201708196582</v>
      </c>
      <c r="S28" s="5"/>
      <c r="T28" s="176">
        <v>20035</v>
      </c>
      <c r="U28" s="178">
        <v>-2.6330503118398908E-3</v>
      </c>
      <c r="V28" s="176">
        <v>19982.246837002287</v>
      </c>
      <c r="W28" s="176">
        <v>19929.632575736858</v>
      </c>
      <c r="X28" s="176">
        <v>19877.156850468458</v>
      </c>
      <c r="Y28" s="48"/>
      <c r="Z28" s="165">
        <v>7527</v>
      </c>
      <c r="AA28" s="167">
        <v>4.0132199750008389E-2</v>
      </c>
      <c r="AB28" s="165">
        <v>7829.0750675183126</v>
      </c>
      <c r="AC28" s="165">
        <v>8143.2730719857682</v>
      </c>
      <c r="AD28" s="165">
        <v>8470.0805335295645</v>
      </c>
      <c r="AF28" s="171">
        <v>16814</v>
      </c>
      <c r="AG28" s="173">
        <v>1.9448314200546241E-2</v>
      </c>
      <c r="AH28" s="171">
        <v>17141.003954967982</v>
      </c>
      <c r="AI28" s="171">
        <v>17474.367585597003</v>
      </c>
      <c r="AJ28" s="171">
        <v>17814.214576857532</v>
      </c>
      <c r="AL28" s="25">
        <v>643</v>
      </c>
      <c r="AM28" s="55">
        <v>0</v>
      </c>
      <c r="AN28" s="25">
        <v>643</v>
      </c>
      <c r="AO28" s="25">
        <v>643</v>
      </c>
      <c r="AP28" s="25">
        <v>643</v>
      </c>
    </row>
    <row r="29" spans="1:42" ht="15.5" x14ac:dyDescent="0.35">
      <c r="A29" s="54" t="s">
        <v>184</v>
      </c>
      <c r="B29" s="44">
        <v>4597</v>
      </c>
      <c r="C29" s="45">
        <v>-1.0654581611883391E-2</v>
      </c>
      <c r="D29" s="44">
        <v>4548.0208883301721</v>
      </c>
      <c r="E29" s="44">
        <v>4499.5636286029076</v>
      </c>
      <c r="F29" s="44">
        <v>4451.6226607040962</v>
      </c>
      <c r="G29" s="5"/>
      <c r="H29" s="44">
        <v>1601</v>
      </c>
      <c r="I29" s="45">
        <v>5.6902610939059871E-2</v>
      </c>
      <c r="J29" s="44">
        <v>1692.1010801134348</v>
      </c>
      <c r="K29" s="44">
        <v>1788.3860495446925</v>
      </c>
      <c r="L29" s="44">
        <v>1890.1498851307763</v>
      </c>
      <c r="M29" s="5"/>
      <c r="N29" s="44">
        <v>2099</v>
      </c>
      <c r="O29" s="45">
        <v>0.1132531470453593</v>
      </c>
      <c r="P29" s="44">
        <v>2336.7183556482091</v>
      </c>
      <c r="Q29" s="44">
        <v>2601.3590631840257</v>
      </c>
      <c r="R29" s="44">
        <v>2895.9711636845841</v>
      </c>
      <c r="S29" s="5"/>
      <c r="T29" s="176">
        <v>9058</v>
      </c>
      <c r="U29" s="178">
        <v>-2.6330503118398908E-3</v>
      </c>
      <c r="V29" s="176">
        <v>9034.1498302753535</v>
      </c>
      <c r="W29" s="176">
        <v>9010.3624592475389</v>
      </c>
      <c r="X29" s="176">
        <v>8986.6377215644261</v>
      </c>
      <c r="Y29" s="48"/>
      <c r="Z29" s="165">
        <v>4117</v>
      </c>
      <c r="AA29" s="167">
        <v>1.3201041199163609E-2</v>
      </c>
      <c r="AB29" s="165">
        <v>4171.3486866169569</v>
      </c>
      <c r="AC29" s="165">
        <v>4226.4148324850648</v>
      </c>
      <c r="AD29" s="165">
        <v>4282.2079088134569</v>
      </c>
      <c r="AF29" s="171">
        <v>12074</v>
      </c>
      <c r="AG29" s="173">
        <v>1.9448314200546241E-2</v>
      </c>
      <c r="AH29" s="171">
        <v>12308.818945657395</v>
      </c>
      <c r="AI29" s="171">
        <v>12548.204723950175</v>
      </c>
      <c r="AJ29" s="171">
        <v>12792.246152074336</v>
      </c>
      <c r="AL29" s="25">
        <v>596</v>
      </c>
      <c r="AM29" s="55">
        <v>0</v>
      </c>
      <c r="AN29" s="25">
        <v>596</v>
      </c>
      <c r="AO29" s="25">
        <v>596</v>
      </c>
      <c r="AP29" s="25">
        <v>596</v>
      </c>
    </row>
    <row r="30" spans="1:42" ht="15.5" x14ac:dyDescent="0.35">
      <c r="A30" s="54" t="s">
        <v>185</v>
      </c>
      <c r="B30" s="44">
        <v>203</v>
      </c>
      <c r="C30" s="45">
        <v>-1.602111501736294E-2</v>
      </c>
      <c r="D30" s="44">
        <v>199.74771365147532</v>
      </c>
      <c r="E30" s="44">
        <v>196.54753255660975</v>
      </c>
      <c r="F30" s="44">
        <v>193.39862193114143</v>
      </c>
      <c r="G30" s="5"/>
      <c r="H30" s="44">
        <v>99</v>
      </c>
      <c r="I30" s="45">
        <v>6.4719985254524909E-2</v>
      </c>
      <c r="J30" s="44">
        <v>105.40727854019796</v>
      </c>
      <c r="K30" s="44">
        <v>112.22923605303917</v>
      </c>
      <c r="L30" s="44">
        <v>119.49271055551846</v>
      </c>
      <c r="M30" s="5"/>
      <c r="N30" s="44">
        <v>59</v>
      </c>
      <c r="O30" s="45">
        <v>-3.1801839349467008E-3</v>
      </c>
      <c r="P30" s="44">
        <v>58.812369147838147</v>
      </c>
      <c r="Q30" s="44">
        <v>58.625334996298037</v>
      </c>
      <c r="R30" s="44">
        <v>58.438895647761939</v>
      </c>
      <c r="S30" s="5"/>
      <c r="T30" s="176">
        <v>464</v>
      </c>
      <c r="U30" s="178">
        <v>-2.6330503118398908E-3</v>
      </c>
      <c r="V30" s="176">
        <v>462.77826465530626</v>
      </c>
      <c r="W30" s="176">
        <v>461.55974620124289</v>
      </c>
      <c r="X30" s="176">
        <v>460.34443616757494</v>
      </c>
      <c r="Y30" s="48"/>
      <c r="Z30" s="165">
        <v>328</v>
      </c>
      <c r="AA30" s="167">
        <v>-2.4130723235994632E-3</v>
      </c>
      <c r="AB30" s="165">
        <v>327.20851227785937</v>
      </c>
      <c r="AC30" s="165">
        <v>326.41893447283553</v>
      </c>
      <c r="AD30" s="165">
        <v>325.63126197616032</v>
      </c>
      <c r="AF30" s="171">
        <v>506</v>
      </c>
      <c r="AG30" s="173">
        <v>1.9448314200546241E-2</v>
      </c>
      <c r="AH30" s="171">
        <v>515.84084698547633</v>
      </c>
      <c r="AI30" s="171">
        <v>525.87308185512575</v>
      </c>
      <c r="AJ30" s="171">
        <v>536.10042678065372</v>
      </c>
      <c r="AL30" s="25">
        <v>59</v>
      </c>
      <c r="AM30" s="55">
        <v>0</v>
      </c>
      <c r="AN30" s="25">
        <v>59</v>
      </c>
      <c r="AO30" s="25">
        <v>59</v>
      </c>
      <c r="AP30" s="25">
        <v>59</v>
      </c>
    </row>
    <row r="31" spans="1:42" ht="15.5" x14ac:dyDescent="0.35">
      <c r="A31" s="54" t="s">
        <v>186</v>
      </c>
      <c r="B31" s="44">
        <v>233</v>
      </c>
      <c r="C31" s="45">
        <v>-4.39684950758692E-3</v>
      </c>
      <c r="D31" s="44">
        <v>231.97553406473224</v>
      </c>
      <c r="E31" s="44">
        <v>230.95557255200751</v>
      </c>
      <c r="F31" s="44">
        <v>229.94009565655776</v>
      </c>
      <c r="G31" s="5"/>
      <c r="H31" s="44">
        <v>93</v>
      </c>
      <c r="I31" s="45">
        <v>6.5460075673681881E-2</v>
      </c>
      <c r="J31" s="44">
        <v>99.087787037652404</v>
      </c>
      <c r="K31" s="44">
        <v>105.57408107547481</v>
      </c>
      <c r="L31" s="44">
        <v>112.48496841185481</v>
      </c>
      <c r="M31" s="5"/>
      <c r="N31" s="44">
        <v>63</v>
      </c>
      <c r="O31" s="45">
        <v>0.11455168862145608</v>
      </c>
      <c r="P31" s="44">
        <v>70.216756383151733</v>
      </c>
      <c r="Q31" s="44">
        <v>78.260204396363179</v>
      </c>
      <c r="R31" s="44">
        <v>87.225042961826887</v>
      </c>
      <c r="S31" s="5"/>
      <c r="T31" s="176">
        <v>529</v>
      </c>
      <c r="U31" s="178">
        <v>-2.6330503118398908E-3</v>
      </c>
      <c r="V31" s="176">
        <v>527.60711638503665</v>
      </c>
      <c r="W31" s="176">
        <v>526.21790030271006</v>
      </c>
      <c r="X31" s="176">
        <v>524.83234209622231</v>
      </c>
      <c r="Y31" s="48"/>
      <c r="Z31" s="165">
        <v>209</v>
      </c>
      <c r="AA31" s="167">
        <v>7.3048329287380698E-3</v>
      </c>
      <c r="AB31" s="165">
        <v>210.52671008210623</v>
      </c>
      <c r="AC31" s="165">
        <v>212.06457252629286</v>
      </c>
      <c r="AD31" s="165">
        <v>213.61366879870167</v>
      </c>
      <c r="AF31" s="171">
        <v>621</v>
      </c>
      <c r="AG31" s="173">
        <v>1.9448314200546241E-2</v>
      </c>
      <c r="AH31" s="171">
        <v>633.07740311853911</v>
      </c>
      <c r="AI31" s="171">
        <v>645.38969136765422</v>
      </c>
      <c r="AJ31" s="171">
        <v>657.94143286716587</v>
      </c>
      <c r="AL31" s="25">
        <v>30</v>
      </c>
      <c r="AM31" s="55">
        <v>0</v>
      </c>
      <c r="AN31" s="25">
        <v>30</v>
      </c>
      <c r="AO31" s="25">
        <v>30</v>
      </c>
      <c r="AP31" s="25">
        <v>30</v>
      </c>
    </row>
    <row r="32" spans="1:42" ht="15.5" x14ac:dyDescent="0.35">
      <c r="A32" s="54" t="s">
        <v>187</v>
      </c>
      <c r="B32" s="44">
        <v>632</v>
      </c>
      <c r="C32" s="45">
        <v>-9.3924980242113074E-3</v>
      </c>
      <c r="D32" s="44">
        <v>626.06394124869848</v>
      </c>
      <c r="E32" s="44">
        <v>620.18363691749016</v>
      </c>
      <c r="F32" s="44">
        <v>614.35856333309448</v>
      </c>
      <c r="G32" s="5"/>
      <c r="H32" s="44">
        <v>441</v>
      </c>
      <c r="I32" s="45">
        <v>0.10015399774255358</v>
      </c>
      <c r="J32" s="44">
        <v>485.16791300446613</v>
      </c>
      <c r="K32" s="44">
        <v>533.75941906827484</v>
      </c>
      <c r="L32" s="44">
        <v>587.2175587207056</v>
      </c>
      <c r="M32" s="5"/>
      <c r="N32" s="44">
        <v>480</v>
      </c>
      <c r="O32" s="45">
        <v>0.3223643709724035</v>
      </c>
      <c r="P32" s="44">
        <v>634.73489806675366</v>
      </c>
      <c r="Q32" s="44">
        <v>839.35081421627535</v>
      </c>
      <c r="R32" s="44">
        <v>1109.9276114662798</v>
      </c>
      <c r="S32" s="5"/>
      <c r="T32" s="176">
        <v>1358</v>
      </c>
      <c r="U32" s="178">
        <v>-2.6330503118398908E-3</v>
      </c>
      <c r="V32" s="176">
        <v>1354.4243176765215</v>
      </c>
      <c r="W32" s="176">
        <v>1350.8580503044998</v>
      </c>
      <c r="X32" s="176">
        <v>1347.301173093894</v>
      </c>
      <c r="Y32" s="48"/>
      <c r="Z32" s="165">
        <v>901</v>
      </c>
      <c r="AA32" s="167">
        <v>4.7395256219329517E-2</v>
      </c>
      <c r="AB32" s="165">
        <v>943.70312585361603</v>
      </c>
      <c r="AC32" s="165">
        <v>988.43017729843041</v>
      </c>
      <c r="AD32" s="165">
        <v>1035.277078806407</v>
      </c>
      <c r="AF32" s="171">
        <v>1452</v>
      </c>
      <c r="AG32" s="173">
        <v>1.9448314200546241E-2</v>
      </c>
      <c r="AH32" s="171">
        <v>1480.2389522191929</v>
      </c>
      <c r="AI32" s="171">
        <v>1509.027104453839</v>
      </c>
      <c r="AJ32" s="171">
        <v>1538.3751377183976</v>
      </c>
      <c r="AL32" s="25">
        <v>178</v>
      </c>
      <c r="AM32" s="55">
        <v>0</v>
      </c>
      <c r="AN32" s="25">
        <v>178</v>
      </c>
      <c r="AO32" s="25">
        <v>178</v>
      </c>
      <c r="AP32" s="25">
        <v>178</v>
      </c>
    </row>
    <row r="33" spans="1:42" ht="15.5" x14ac:dyDescent="0.35">
      <c r="A33" s="54" t="s">
        <v>188</v>
      </c>
      <c r="B33" s="44">
        <v>928</v>
      </c>
      <c r="C33" s="45">
        <v>4.0051799052010055E-2</v>
      </c>
      <c r="D33" s="44">
        <v>965.16806952026525</v>
      </c>
      <c r="E33" s="44">
        <v>1003.8247870921073</v>
      </c>
      <c r="F33" s="44">
        <v>1044.0297757481471</v>
      </c>
      <c r="G33" s="5"/>
      <c r="H33" s="44">
        <v>223</v>
      </c>
      <c r="I33" s="45">
        <v>3.7857119571431223E-2</v>
      </c>
      <c r="J33" s="44">
        <v>231.44213766442917</v>
      </c>
      <c r="K33" s="44">
        <v>240.20387034385911</v>
      </c>
      <c r="L33" s="44">
        <v>249.29729698498716</v>
      </c>
      <c r="M33" s="5"/>
      <c r="N33" s="44">
        <v>1004</v>
      </c>
      <c r="O33" s="45">
        <v>6.4166462656618267E-2</v>
      </c>
      <c r="P33" s="44">
        <v>1068.4231285072447</v>
      </c>
      <c r="Q33" s="44">
        <v>1136.980061284072</v>
      </c>
      <c r="R33" s="44">
        <v>1209.9360499277759</v>
      </c>
      <c r="S33" s="5"/>
      <c r="T33" s="176">
        <v>1891</v>
      </c>
      <c r="U33" s="178">
        <v>-2.6330503118398908E-3</v>
      </c>
      <c r="V33" s="176">
        <v>1886.0209018603107</v>
      </c>
      <c r="W33" s="176">
        <v>1881.0549139365307</v>
      </c>
      <c r="X33" s="176">
        <v>1876.1020017088022</v>
      </c>
      <c r="Y33" s="48"/>
      <c r="Z33" s="165">
        <v>1424</v>
      </c>
      <c r="AA33" s="167">
        <v>5.2898510484082693E-2</v>
      </c>
      <c r="AB33" s="165">
        <v>1499.3274789293337</v>
      </c>
      <c r="AC33" s="165">
        <v>1578.6396692925503</v>
      </c>
      <c r="AD33" s="165">
        <v>1662.1473563892109</v>
      </c>
      <c r="AF33" s="171">
        <v>1602</v>
      </c>
      <c r="AG33" s="173">
        <v>1.9448314200546241E-2</v>
      </c>
      <c r="AH33" s="171">
        <v>1633.1561993492749</v>
      </c>
      <c r="AI33" s="171">
        <v>1664.9183342527895</v>
      </c>
      <c r="AJ33" s="171">
        <v>1697.2981891355876</v>
      </c>
      <c r="AL33" s="25">
        <v>329</v>
      </c>
      <c r="AM33" s="55">
        <v>0</v>
      </c>
      <c r="AN33" s="25">
        <v>329</v>
      </c>
      <c r="AO33" s="25">
        <v>329</v>
      </c>
      <c r="AP33" s="25">
        <v>329</v>
      </c>
    </row>
    <row r="34" spans="1:42" ht="15.5" x14ac:dyDescent="0.35">
      <c r="A34" s="54" t="s">
        <v>189</v>
      </c>
      <c r="B34" s="44">
        <v>356</v>
      </c>
      <c r="C34" s="45">
        <v>2.5209382818955083E-2</v>
      </c>
      <c r="D34" s="44">
        <v>364.97454028354798</v>
      </c>
      <c r="E34" s="44">
        <v>374.17532318872804</v>
      </c>
      <c r="F34" s="44">
        <v>383.6080521523989</v>
      </c>
      <c r="G34" s="5"/>
      <c r="H34" s="44">
        <v>254</v>
      </c>
      <c r="I34" s="45">
        <v>0.10894581071616041</v>
      </c>
      <c r="J34" s="44">
        <v>281.67223592190476</v>
      </c>
      <c r="K34" s="44">
        <v>312.35924602065029</v>
      </c>
      <c r="L34" s="44">
        <v>346.38947731305865</v>
      </c>
      <c r="M34" s="5"/>
      <c r="N34" s="44">
        <v>113</v>
      </c>
      <c r="O34" s="45">
        <v>0.20444580185369313</v>
      </c>
      <c r="P34" s="44">
        <v>136.10237560946734</v>
      </c>
      <c r="Q34" s="44">
        <v>163.92793492513744</v>
      </c>
      <c r="R34" s="44">
        <v>197.4423130271272</v>
      </c>
      <c r="S34" s="5"/>
      <c r="T34" s="176">
        <v>850</v>
      </c>
      <c r="U34" s="178">
        <v>-2.6330503118398908E-3</v>
      </c>
      <c r="V34" s="176">
        <v>847.76190723493607</v>
      </c>
      <c r="W34" s="176">
        <v>845.52970748072516</v>
      </c>
      <c r="X34" s="176">
        <v>843.30338522077318</v>
      </c>
      <c r="Y34" s="48"/>
      <c r="Z34" s="165">
        <v>580</v>
      </c>
      <c r="AA34" s="167">
        <v>1.3192795319712269E-2</v>
      </c>
      <c r="AB34" s="165">
        <v>587.65182128543302</v>
      </c>
      <c r="AC34" s="165">
        <v>595.40459148290779</v>
      </c>
      <c r="AD34" s="165">
        <v>603.25964239075859</v>
      </c>
      <c r="AF34" s="171">
        <v>2061</v>
      </c>
      <c r="AG34" s="173">
        <v>1.9448314200546241E-2</v>
      </c>
      <c r="AH34" s="171">
        <v>2101.0829755673258</v>
      </c>
      <c r="AI34" s="171">
        <v>2141.9454974375776</v>
      </c>
      <c r="AJ34" s="171">
        <v>2183.6027264721888</v>
      </c>
      <c r="AL34" s="25">
        <v>90</v>
      </c>
      <c r="AM34" s="55">
        <v>0</v>
      </c>
      <c r="AN34" s="25">
        <v>90</v>
      </c>
      <c r="AO34" s="25">
        <v>90</v>
      </c>
      <c r="AP34" s="25">
        <v>90</v>
      </c>
    </row>
    <row r="35" spans="1:42" ht="15.5" x14ac:dyDescent="0.35">
      <c r="A35" s="54" t="s">
        <v>190</v>
      </c>
      <c r="B35" s="44">
        <v>1685</v>
      </c>
      <c r="C35" s="45">
        <v>-2.26477086553028E-3</v>
      </c>
      <c r="D35" s="44">
        <v>1681.1838610915815</v>
      </c>
      <c r="E35" s="44">
        <v>1677.3763648633817</v>
      </c>
      <c r="F35" s="44">
        <v>1673.57749174171</v>
      </c>
      <c r="G35" s="5"/>
      <c r="H35" s="44">
        <v>524</v>
      </c>
      <c r="I35" s="45">
        <v>4.8843602981285067E-2</v>
      </c>
      <c r="J35" s="44">
        <v>549.59404796219337</v>
      </c>
      <c r="K35" s="44">
        <v>576.43820144173606</v>
      </c>
      <c r="L35" s="44">
        <v>604.59352009620227</v>
      </c>
      <c r="M35" s="5"/>
      <c r="N35" s="44">
        <v>582</v>
      </c>
      <c r="O35" s="45">
        <v>-4.0394563189691944E-2</v>
      </c>
      <c r="P35" s="44">
        <v>558.49036422359927</v>
      </c>
      <c r="Q35" s="44">
        <v>535.93038991513504</v>
      </c>
      <c r="R35" s="44">
        <v>514.28171591443186</v>
      </c>
      <c r="S35" s="5"/>
      <c r="T35" s="176">
        <v>5150</v>
      </c>
      <c r="U35" s="178">
        <v>-2.6330503118398908E-3</v>
      </c>
      <c r="V35" s="176">
        <v>5136.4397908940246</v>
      </c>
      <c r="W35" s="176">
        <v>5122.9152865008637</v>
      </c>
      <c r="X35" s="176">
        <v>5109.4263928082128</v>
      </c>
      <c r="Y35" s="48"/>
      <c r="Z35" s="165">
        <v>2488</v>
      </c>
      <c r="AA35" s="167">
        <v>1.6323029901838183E-2</v>
      </c>
      <c r="AB35" s="165">
        <v>2528.6116983957736</v>
      </c>
      <c r="AC35" s="165">
        <v>2569.8863027588259</v>
      </c>
      <c r="AD35" s="165">
        <v>2611.8346337230828</v>
      </c>
      <c r="AF35" s="171">
        <v>2840</v>
      </c>
      <c r="AG35" s="173">
        <v>1.9448314200546241E-2</v>
      </c>
      <c r="AH35" s="171">
        <v>2895.233212329551</v>
      </c>
      <c r="AI35" s="171">
        <v>2951.5406175267926</v>
      </c>
      <c r="AJ35" s="171">
        <v>3008.9431068321278</v>
      </c>
      <c r="AL35" s="25">
        <v>368</v>
      </c>
      <c r="AM35" s="55">
        <v>0</v>
      </c>
      <c r="AN35" s="25">
        <v>368</v>
      </c>
      <c r="AO35" s="25">
        <v>368</v>
      </c>
      <c r="AP35" s="25">
        <v>368</v>
      </c>
    </row>
    <row r="36" spans="1:42" ht="15.5" x14ac:dyDescent="0.35">
      <c r="A36" s="54" t="s">
        <v>191</v>
      </c>
      <c r="B36" s="44">
        <v>1668</v>
      </c>
      <c r="C36" s="45">
        <v>1.0118291580981886E-2</v>
      </c>
      <c r="D36" s="44">
        <v>1684.8773103570777</v>
      </c>
      <c r="E36" s="44">
        <v>1701.9253902614512</v>
      </c>
      <c r="F36" s="44">
        <v>1719.1459676091929</v>
      </c>
      <c r="G36" s="5"/>
      <c r="H36" s="44">
        <v>337</v>
      </c>
      <c r="I36" s="45">
        <v>3.9642298839140319E-2</v>
      </c>
      <c r="J36" s="44">
        <v>350.35945470879028</v>
      </c>
      <c r="K36" s="44">
        <v>364.24850891347438</v>
      </c>
      <c r="L36" s="44">
        <v>378.68815715553359</v>
      </c>
      <c r="M36" s="5"/>
      <c r="N36" s="44">
        <v>137</v>
      </c>
      <c r="O36" s="45">
        <v>-9.9978306617310747E-2</v>
      </c>
      <c r="P36" s="44">
        <v>123.30297199342843</v>
      </c>
      <c r="Q36" s="44">
        <v>110.97534965264376</v>
      </c>
      <c r="R36" s="44">
        <v>99.880222118108463</v>
      </c>
      <c r="S36" s="5"/>
      <c r="T36" s="176">
        <v>1370</v>
      </c>
      <c r="U36" s="178">
        <v>-2.6330503118398908E-3</v>
      </c>
      <c r="V36" s="176">
        <v>1366.3927210727793</v>
      </c>
      <c r="W36" s="176">
        <v>1362.7949402924628</v>
      </c>
      <c r="X36" s="176">
        <v>1359.2066326499519</v>
      </c>
      <c r="Y36" s="48"/>
      <c r="Z36" s="165">
        <v>1010</v>
      </c>
      <c r="AA36" s="167">
        <v>2.3469246924279876E-3</v>
      </c>
      <c r="AB36" s="165">
        <v>1012.3703939393522</v>
      </c>
      <c r="AC36" s="165">
        <v>1014.7463510147714</v>
      </c>
      <c r="AD36" s="165">
        <v>1017.1278842825192</v>
      </c>
      <c r="AF36" s="171">
        <v>1590</v>
      </c>
      <c r="AG36" s="173">
        <v>1.9448314200546241E-2</v>
      </c>
      <c r="AH36" s="171">
        <v>1620.9228195788685</v>
      </c>
      <c r="AI36" s="171">
        <v>1652.4470358688734</v>
      </c>
      <c r="AJ36" s="171">
        <v>1684.5843450222123</v>
      </c>
      <c r="AL36" s="25">
        <v>348</v>
      </c>
      <c r="AM36" s="55">
        <v>0</v>
      </c>
      <c r="AN36" s="25">
        <v>348</v>
      </c>
      <c r="AO36" s="25">
        <v>348</v>
      </c>
      <c r="AP36" s="25">
        <v>348</v>
      </c>
    </row>
    <row r="37" spans="1:42" ht="15.5" x14ac:dyDescent="0.35">
      <c r="A37" s="54" t="s">
        <v>192</v>
      </c>
      <c r="B37" s="44">
        <v>521</v>
      </c>
      <c r="C37" s="45">
        <v>-8.8932336916854957E-3</v>
      </c>
      <c r="D37" s="44">
        <v>516.36662524663188</v>
      </c>
      <c r="E37" s="44">
        <v>511.77445617772662</v>
      </c>
      <c r="F37" s="44">
        <v>507.22312634150285</v>
      </c>
      <c r="G37" s="5"/>
      <c r="H37" s="44">
        <v>218</v>
      </c>
      <c r="I37" s="45">
        <v>7.1018392312858669E-2</v>
      </c>
      <c r="J37" s="44">
        <v>233.48200952420319</v>
      </c>
      <c r="K37" s="44">
        <v>250.06352647458766</v>
      </c>
      <c r="L37" s="44">
        <v>267.82263610089683</v>
      </c>
      <c r="M37" s="5"/>
      <c r="N37" s="44">
        <v>368</v>
      </c>
      <c r="O37" s="45">
        <v>0.11832627814176619</v>
      </c>
      <c r="P37" s="44">
        <v>411.54407035616998</v>
      </c>
      <c r="Q37" s="44">
        <v>460.24054849272875</v>
      </c>
      <c r="R37" s="44">
        <v>514.69909964579847</v>
      </c>
      <c r="S37" s="5"/>
      <c r="T37" s="176">
        <v>863</v>
      </c>
      <c r="U37" s="178">
        <v>-2.6330503118398908E-3</v>
      </c>
      <c r="V37" s="176">
        <v>860.72767758088219</v>
      </c>
      <c r="W37" s="176">
        <v>858.4613383010186</v>
      </c>
      <c r="X37" s="176">
        <v>856.20096640650263</v>
      </c>
      <c r="Y37" s="48"/>
      <c r="Z37" s="165">
        <v>510</v>
      </c>
      <c r="AA37" s="167">
        <v>3.3123544646163162E-2</v>
      </c>
      <c r="AB37" s="165">
        <v>526.89300776954315</v>
      </c>
      <c r="AC37" s="165">
        <v>544.34557183614879</v>
      </c>
      <c r="AD37" s="165">
        <v>562.37622668780466</v>
      </c>
      <c r="AF37" s="171">
        <v>1147</v>
      </c>
      <c r="AG37" s="173">
        <v>1.9448314200546241E-2</v>
      </c>
      <c r="AH37" s="171">
        <v>1169.3072163880265</v>
      </c>
      <c r="AI37" s="171">
        <v>1192.0482705293068</v>
      </c>
      <c r="AJ37" s="171">
        <v>1215.2315998367785</v>
      </c>
      <c r="AL37" s="25">
        <v>172</v>
      </c>
      <c r="AM37" s="55">
        <v>0</v>
      </c>
      <c r="AN37" s="25">
        <v>172</v>
      </c>
      <c r="AO37" s="25">
        <v>172</v>
      </c>
      <c r="AP37" s="25">
        <v>172</v>
      </c>
    </row>
    <row r="38" spans="1:42" ht="15.5" x14ac:dyDescent="0.35">
      <c r="A38" s="54" t="s">
        <v>193</v>
      </c>
      <c r="B38" s="44">
        <v>1892</v>
      </c>
      <c r="C38" s="45">
        <v>-1.6906233861334156E-2</v>
      </c>
      <c r="D38" s="44">
        <v>1860.0134055343558</v>
      </c>
      <c r="E38" s="44">
        <v>1828.5675839151754</v>
      </c>
      <c r="F38" s="44">
        <v>1797.6533927102507</v>
      </c>
      <c r="G38" s="5"/>
      <c r="H38" s="44">
        <v>1279</v>
      </c>
      <c r="I38" s="45">
        <v>0.1054095863980949</v>
      </c>
      <c r="J38" s="44">
        <v>1413.8188610031632</v>
      </c>
      <c r="K38" s="44">
        <v>1562.8489223833321</v>
      </c>
      <c r="L38" s="44">
        <v>1727.5881808944673</v>
      </c>
      <c r="M38" s="5"/>
      <c r="N38" s="44">
        <v>825</v>
      </c>
      <c r="O38" s="45">
        <v>8.0881008535275398E-2</v>
      </c>
      <c r="P38" s="44">
        <v>891.72683204160217</v>
      </c>
      <c r="Q38" s="44">
        <v>963.85059755509303</v>
      </c>
      <c r="R38" s="44">
        <v>1041.8078059626769</v>
      </c>
      <c r="S38" s="5"/>
      <c r="T38" s="176">
        <v>4922</v>
      </c>
      <c r="U38" s="178">
        <v>-2.6330503118398908E-3</v>
      </c>
      <c r="V38" s="176">
        <v>4909.0401263651238</v>
      </c>
      <c r="W38" s="176">
        <v>4896.1143767295634</v>
      </c>
      <c r="X38" s="176">
        <v>4883.2226612431114</v>
      </c>
      <c r="Y38" s="48"/>
      <c r="Z38" s="165">
        <v>3397</v>
      </c>
      <c r="AA38" s="167">
        <v>2.2871583845181686E-2</v>
      </c>
      <c r="AB38" s="165">
        <v>3474.6947703220821</v>
      </c>
      <c r="AC38" s="165">
        <v>3554.1665430979178</v>
      </c>
      <c r="AD38" s="165">
        <v>3635.4559611881214</v>
      </c>
      <c r="AF38" s="171">
        <v>3999</v>
      </c>
      <c r="AG38" s="173">
        <v>1.9448314200546241E-2</v>
      </c>
      <c r="AH38" s="171">
        <v>4076.7738084879843</v>
      </c>
      <c r="AI38" s="171">
        <v>4156.060186440016</v>
      </c>
      <c r="AJ38" s="171">
        <v>4236.8885507822815</v>
      </c>
      <c r="AL38" s="25">
        <v>681</v>
      </c>
      <c r="AM38" s="55">
        <v>0</v>
      </c>
      <c r="AN38" s="25">
        <v>681</v>
      </c>
      <c r="AO38" s="25">
        <v>681</v>
      </c>
      <c r="AP38" s="25">
        <v>681</v>
      </c>
    </row>
    <row r="39" spans="1:42" ht="15.5" x14ac:dyDescent="0.35">
      <c r="A39" s="54" t="s">
        <v>194</v>
      </c>
      <c r="B39" s="44">
        <v>720</v>
      </c>
      <c r="C39" s="45">
        <v>5.7837947846898705E-2</v>
      </c>
      <c r="D39" s="44">
        <v>761.64332244976708</v>
      </c>
      <c r="E39" s="44">
        <v>805.69520921155538</v>
      </c>
      <c r="F39" s="44">
        <v>852.29496670242941</v>
      </c>
      <c r="G39" s="5"/>
      <c r="H39" s="44">
        <v>260</v>
      </c>
      <c r="I39" s="45">
        <v>6.4317368759261279E-2</v>
      </c>
      <c r="J39" s="44">
        <v>276.72251587740794</v>
      </c>
      <c r="K39" s="44">
        <v>294.52057997508575</v>
      </c>
      <c r="L39" s="44">
        <v>313.46336872453486</v>
      </c>
      <c r="M39" s="5"/>
      <c r="N39" s="44">
        <v>37</v>
      </c>
      <c r="O39" s="45">
        <v>0.19106902404359449</v>
      </c>
      <c r="P39" s="44">
        <v>44.06955388961299</v>
      </c>
      <c r="Q39" s="44">
        <v>52.489880541337932</v>
      </c>
      <c r="R39" s="44">
        <v>62.519070788536226</v>
      </c>
      <c r="S39" s="5"/>
      <c r="T39" s="176">
        <v>1007</v>
      </c>
      <c r="U39" s="178">
        <v>-2.6330503118398908E-3</v>
      </c>
      <c r="V39" s="176">
        <v>1004.3485183359772</v>
      </c>
      <c r="W39" s="176">
        <v>1001.7040181565767</v>
      </c>
      <c r="X39" s="176">
        <v>999.06648107919818</v>
      </c>
      <c r="Y39" s="48"/>
      <c r="Z39" s="165">
        <v>921</v>
      </c>
      <c r="AA39" s="167">
        <v>2.7207754384352124E-2</v>
      </c>
      <c r="AB39" s="165">
        <v>946.0583417879883</v>
      </c>
      <c r="AC39" s="165">
        <v>971.79846478462332</v>
      </c>
      <c r="AD39" s="165">
        <v>998.23891872557374</v>
      </c>
      <c r="AF39" s="171">
        <v>1835</v>
      </c>
      <c r="AG39" s="173">
        <v>1.9448314200546241E-2</v>
      </c>
      <c r="AH39" s="171">
        <v>1870.6876565580021</v>
      </c>
      <c r="AI39" s="171">
        <v>1907.0693778738255</v>
      </c>
      <c r="AJ39" s="171">
        <v>1944.1586623369558</v>
      </c>
      <c r="AL39" s="25">
        <v>219</v>
      </c>
      <c r="AM39" s="55">
        <v>0</v>
      </c>
      <c r="AN39" s="25">
        <v>219</v>
      </c>
      <c r="AO39" s="25">
        <v>219</v>
      </c>
      <c r="AP39" s="25">
        <v>219</v>
      </c>
    </row>
    <row r="40" spans="1:42" ht="15.5" x14ac:dyDescent="0.35">
      <c r="A40" s="54" t="s">
        <v>195</v>
      </c>
      <c r="B40" s="44">
        <v>133</v>
      </c>
      <c r="C40" s="45">
        <v>5.897813335208385E-2</v>
      </c>
      <c r="D40" s="44">
        <v>140.84409173582713</v>
      </c>
      <c r="E40" s="44">
        <v>149.15081336007586</v>
      </c>
      <c r="F40" s="44">
        <v>157.94744991999818</v>
      </c>
      <c r="G40" s="5"/>
      <c r="H40" s="44">
        <v>14</v>
      </c>
      <c r="I40" s="45">
        <v>6.9642514451975487E-2</v>
      </c>
      <c r="J40" s="44">
        <v>14.974995202327657</v>
      </c>
      <c r="K40" s="44">
        <v>16.017891522124025</v>
      </c>
      <c r="L40" s="44">
        <v>17.133417763943722</v>
      </c>
      <c r="M40" s="5"/>
      <c r="N40" s="44">
        <v>51</v>
      </c>
      <c r="O40" s="45">
        <v>6.6251126687065634E-2</v>
      </c>
      <c r="P40" s="44">
        <v>54.378807461040346</v>
      </c>
      <c r="Q40" s="44">
        <v>57.981464723233273</v>
      </c>
      <c r="R40" s="44">
        <v>61.822802088113825</v>
      </c>
      <c r="S40" s="5"/>
      <c r="T40" s="176">
        <v>581</v>
      </c>
      <c r="U40" s="178">
        <v>-2.6330503118398908E-3</v>
      </c>
      <c r="V40" s="176">
        <v>579.47019776882098</v>
      </c>
      <c r="W40" s="176">
        <v>577.9444235838838</v>
      </c>
      <c r="X40" s="176">
        <v>576.42266683914011</v>
      </c>
      <c r="Y40" s="48"/>
      <c r="Z40" s="165">
        <v>41</v>
      </c>
      <c r="AA40" s="167">
        <v>6.2234049175225681E-2</v>
      </c>
      <c r="AB40" s="165">
        <v>43.551596016184256</v>
      </c>
      <c r="AC40" s="165">
        <v>46.261988184315037</v>
      </c>
      <c r="AD40" s="165">
        <v>49.141059031921415</v>
      </c>
      <c r="AF40" s="171">
        <v>632</v>
      </c>
      <c r="AG40" s="173">
        <v>1.9448314200546241E-2</v>
      </c>
      <c r="AH40" s="171">
        <v>644.29133457474518</v>
      </c>
      <c r="AI40" s="171">
        <v>656.82171488624408</v>
      </c>
      <c r="AJ40" s="171">
        <v>669.59578997109327</v>
      </c>
      <c r="AL40" s="25">
        <v>3</v>
      </c>
      <c r="AM40" s="55">
        <v>0</v>
      </c>
      <c r="AN40" s="25">
        <v>3</v>
      </c>
      <c r="AO40" s="25">
        <v>3</v>
      </c>
      <c r="AP40" s="25">
        <v>3</v>
      </c>
    </row>
    <row r="41" spans="1:42" ht="15.5" x14ac:dyDescent="0.35">
      <c r="A41" s="54" t="s">
        <v>196</v>
      </c>
      <c r="B41" s="44">
        <v>1606</v>
      </c>
      <c r="C41" s="45">
        <v>-2.0295426903597449E-2</v>
      </c>
      <c r="D41" s="44">
        <v>1573.4055443928225</v>
      </c>
      <c r="E41" s="44">
        <v>1541.472607176883</v>
      </c>
      <c r="F41" s="44">
        <v>1510.1877625540269</v>
      </c>
      <c r="G41" s="5"/>
      <c r="H41" s="44">
        <v>312</v>
      </c>
      <c r="I41" s="45">
        <v>3.2760695253180538E-2</v>
      </c>
      <c r="J41" s="44">
        <v>322.22133691899234</v>
      </c>
      <c r="K41" s="44">
        <v>332.77753194186784</v>
      </c>
      <c r="L41" s="44">
        <v>343.67955525292092</v>
      </c>
      <c r="M41" s="5"/>
      <c r="N41" s="44">
        <v>1635</v>
      </c>
      <c r="O41" s="45">
        <v>7.6178735393583885E-4</v>
      </c>
      <c r="P41" s="44">
        <v>1636.245522323685</v>
      </c>
      <c r="Q41" s="44">
        <v>1637.4919934705254</v>
      </c>
      <c r="R41" s="44">
        <v>1638.7394141633224</v>
      </c>
      <c r="S41" s="5"/>
      <c r="T41" s="176">
        <v>3377</v>
      </c>
      <c r="U41" s="178">
        <v>-2.6330503118398908E-3</v>
      </c>
      <c r="V41" s="176">
        <v>3368.1081890969167</v>
      </c>
      <c r="W41" s="176">
        <v>3359.2397907793047</v>
      </c>
      <c r="X41" s="176">
        <v>3350.3947434006482</v>
      </c>
      <c r="Y41" s="48"/>
      <c r="Z41" s="165">
        <v>1759</v>
      </c>
      <c r="AA41" s="167">
        <v>-1.61210188171945E-2</v>
      </c>
      <c r="AB41" s="165">
        <v>1730.6431279005549</v>
      </c>
      <c r="AC41" s="165">
        <v>1702.7433974698217</v>
      </c>
      <c r="AD41" s="165">
        <v>1675.2934391183569</v>
      </c>
      <c r="AF41" s="171">
        <v>2401</v>
      </c>
      <c r="AG41" s="173">
        <v>1.9448314200546241E-2</v>
      </c>
      <c r="AH41" s="171">
        <v>2447.6954023955113</v>
      </c>
      <c r="AI41" s="171">
        <v>2495.2989516485313</v>
      </c>
      <c r="AJ41" s="171">
        <v>2543.8283096844852</v>
      </c>
      <c r="AL41" s="25">
        <v>225</v>
      </c>
      <c r="AM41" s="55">
        <v>0</v>
      </c>
      <c r="AN41" s="25">
        <v>225</v>
      </c>
      <c r="AO41" s="25">
        <v>225</v>
      </c>
      <c r="AP41" s="25">
        <v>225</v>
      </c>
    </row>
    <row r="42" spans="1:42" ht="15.5" x14ac:dyDescent="0.35">
      <c r="A42" s="54" t="s">
        <v>197</v>
      </c>
      <c r="B42" s="44">
        <v>3090</v>
      </c>
      <c r="C42" s="45">
        <v>0.13569603826595186</v>
      </c>
      <c r="D42" s="44">
        <v>3509.3007582417908</v>
      </c>
      <c r="E42" s="44">
        <v>3985.4989682189025</v>
      </c>
      <c r="F42" s="44">
        <v>4526.3153887192457</v>
      </c>
      <c r="G42" s="5"/>
      <c r="H42" s="44">
        <v>1040</v>
      </c>
      <c r="I42" s="45">
        <v>8.644049447657888E-2</v>
      </c>
      <c r="J42" s="44">
        <v>1129.898114255642</v>
      </c>
      <c r="K42" s="44">
        <v>1227.5670659600537</v>
      </c>
      <c r="L42" s="44">
        <v>1333.6785701448039</v>
      </c>
      <c r="M42" s="5"/>
      <c r="N42" s="44">
        <v>536</v>
      </c>
      <c r="O42" s="45">
        <v>-4.6659618604291353E-2</v>
      </c>
      <c r="P42" s="44">
        <v>510.99044442809986</v>
      </c>
      <c r="Q42" s="44">
        <v>487.14782518064737</v>
      </c>
      <c r="R42" s="44">
        <v>464.41769345380834</v>
      </c>
      <c r="S42" s="5"/>
      <c r="T42" s="176">
        <v>3251</v>
      </c>
      <c r="U42" s="178">
        <v>-2.6330503118398908E-3</v>
      </c>
      <c r="V42" s="176">
        <v>3242.4399534362083</v>
      </c>
      <c r="W42" s="176">
        <v>3233.9024459056909</v>
      </c>
      <c r="X42" s="176">
        <v>3225.3874180620392</v>
      </c>
      <c r="Y42" s="48"/>
      <c r="Z42" s="165">
        <v>2560</v>
      </c>
      <c r="AA42" s="167">
        <v>1.4210692573843952E-2</v>
      </c>
      <c r="AB42" s="165">
        <v>2596.3793729890403</v>
      </c>
      <c r="AC42" s="165">
        <v>2633.2757220636572</v>
      </c>
      <c r="AD42" s="165">
        <v>2670.6963938120707</v>
      </c>
      <c r="AF42" s="171">
        <v>2237</v>
      </c>
      <c r="AG42" s="173">
        <v>1.9448314200546241E-2</v>
      </c>
      <c r="AH42" s="171">
        <v>2280.505878866622</v>
      </c>
      <c r="AI42" s="171">
        <v>2324.8578737350126</v>
      </c>
      <c r="AJ42" s="171">
        <v>2370.0724401350249</v>
      </c>
      <c r="AL42" s="25">
        <v>684</v>
      </c>
      <c r="AM42" s="55">
        <v>0</v>
      </c>
      <c r="AN42" s="25">
        <v>684</v>
      </c>
      <c r="AO42" s="25">
        <v>684</v>
      </c>
      <c r="AP42" s="25">
        <v>684</v>
      </c>
    </row>
    <row r="43" spans="1:42" ht="15.5" x14ac:dyDescent="0.35">
      <c r="A43" s="54" t="s">
        <v>198</v>
      </c>
      <c r="B43" s="44">
        <v>1278</v>
      </c>
      <c r="C43" s="45">
        <v>1.7373038837827774E-3</v>
      </c>
      <c r="D43" s="44">
        <v>1280.2202743634743</v>
      </c>
      <c r="E43" s="44">
        <v>1282.4444060182234</v>
      </c>
      <c r="F43" s="44">
        <v>1284.6724016655342</v>
      </c>
      <c r="G43" s="5"/>
      <c r="H43" s="44">
        <v>505</v>
      </c>
      <c r="I43" s="45">
        <v>7.4880188900386876E-2</v>
      </c>
      <c r="J43" s="44">
        <v>542.81449539469543</v>
      </c>
      <c r="K43" s="44">
        <v>583.46054734771849</v>
      </c>
      <c r="L43" s="44">
        <v>627.1501833490388</v>
      </c>
      <c r="M43" s="5"/>
      <c r="N43" s="44">
        <v>1188</v>
      </c>
      <c r="O43" s="45">
        <v>0.18683712546182701</v>
      </c>
      <c r="P43" s="44">
        <v>1409.9625050486507</v>
      </c>
      <c r="Q43" s="44">
        <v>1673.3958465008973</v>
      </c>
      <c r="R43" s="44">
        <v>1986.0483162208857</v>
      </c>
      <c r="S43" s="5"/>
      <c r="T43" s="176">
        <v>2960</v>
      </c>
      <c r="U43" s="178">
        <v>-2.6330503118398908E-3</v>
      </c>
      <c r="V43" s="176">
        <v>2952.206171076954</v>
      </c>
      <c r="W43" s="176">
        <v>2944.4328636975843</v>
      </c>
      <c r="X43" s="176">
        <v>2936.6800238276337</v>
      </c>
      <c r="Y43" s="48"/>
      <c r="Z43" s="165">
        <v>1530</v>
      </c>
      <c r="AA43" s="167">
        <v>1.2401679910924491E-2</v>
      </c>
      <c r="AB43" s="165">
        <v>1548.9745702637147</v>
      </c>
      <c r="AC43" s="165">
        <v>1568.1844570742871</v>
      </c>
      <c r="AD43" s="165">
        <v>1587.6325787522094</v>
      </c>
      <c r="AF43" s="171">
        <v>4083</v>
      </c>
      <c r="AG43" s="173">
        <v>1.9448314200546241E-2</v>
      </c>
      <c r="AH43" s="171">
        <v>4162.4074668808298</v>
      </c>
      <c r="AI43" s="171">
        <v>4243.3592751274273</v>
      </c>
      <c r="AJ43" s="171">
        <v>4325.8854595759076</v>
      </c>
      <c r="AL43" s="25">
        <v>273</v>
      </c>
      <c r="AM43" s="55">
        <v>0</v>
      </c>
      <c r="AN43" s="25">
        <v>273</v>
      </c>
      <c r="AO43" s="25">
        <v>273</v>
      </c>
      <c r="AP43" s="25">
        <v>273</v>
      </c>
    </row>
    <row r="44" spans="1:42" ht="15.5" x14ac:dyDescent="0.35">
      <c r="A44" s="54" t="s">
        <v>199</v>
      </c>
      <c r="B44" s="44">
        <v>2989</v>
      </c>
      <c r="C44" s="45">
        <v>4.4860013629666448E-2</v>
      </c>
      <c r="D44" s="44">
        <v>3123.0865807390728</v>
      </c>
      <c r="E44" s="44">
        <v>3263.188287317656</v>
      </c>
      <c r="F44" s="44">
        <v>3409.574958362894</v>
      </c>
      <c r="G44" s="5"/>
      <c r="H44" s="44">
        <v>1062</v>
      </c>
      <c r="I44" s="45">
        <v>6.7622909599109521E-2</v>
      </c>
      <c r="J44" s="44">
        <v>1133.8155299942541</v>
      </c>
      <c r="K44" s="44">
        <v>1210.4874350811219</v>
      </c>
      <c r="L44" s="44">
        <v>1292.3441174744705</v>
      </c>
      <c r="M44" s="5"/>
      <c r="N44" s="44">
        <v>2615</v>
      </c>
      <c r="O44" s="45">
        <v>9.4395249244647178E-2</v>
      </c>
      <c r="P44" s="44">
        <v>2861.8435767747524</v>
      </c>
      <c r="Q44" s="44">
        <v>3131.9880145035977</v>
      </c>
      <c r="R44" s="44">
        <v>3427.6328037639123</v>
      </c>
      <c r="S44" s="5"/>
      <c r="T44" s="176">
        <v>3761</v>
      </c>
      <c r="U44" s="178">
        <v>-2.6330503118398908E-3</v>
      </c>
      <c r="V44" s="176">
        <v>3751.0970977771699</v>
      </c>
      <c r="W44" s="176">
        <v>3741.2202703941261</v>
      </c>
      <c r="X44" s="176">
        <v>3731.369449194503</v>
      </c>
      <c r="Y44" s="48"/>
      <c r="Z44" s="165">
        <v>2207</v>
      </c>
      <c r="AA44" s="167">
        <v>5.77111632003783E-2</v>
      </c>
      <c r="AB44" s="165">
        <v>2334.3685371832353</v>
      </c>
      <c r="AC44" s="165">
        <v>2469.0876608024455</v>
      </c>
      <c r="AD44" s="165">
        <v>2611.5815817510561</v>
      </c>
      <c r="AF44" s="171">
        <v>8284</v>
      </c>
      <c r="AG44" s="173">
        <v>1.9448314200546241E-2</v>
      </c>
      <c r="AH44" s="171">
        <v>8445.1098348373253</v>
      </c>
      <c r="AI44" s="171">
        <v>8609.3529843633642</v>
      </c>
      <c r="AJ44" s="171">
        <v>8776.7903862666717</v>
      </c>
      <c r="AL44" s="25">
        <v>629</v>
      </c>
      <c r="AM44" s="55">
        <v>0</v>
      </c>
      <c r="AN44" s="25">
        <v>629</v>
      </c>
      <c r="AO44" s="25">
        <v>629</v>
      </c>
      <c r="AP44" s="25">
        <v>629</v>
      </c>
    </row>
    <row r="45" spans="1:42" ht="15.5" x14ac:dyDescent="0.35">
      <c r="A45" s="54" t="s">
        <v>200</v>
      </c>
      <c r="B45" s="44">
        <v>424</v>
      </c>
      <c r="C45" s="45">
        <v>1.276337075726699E-2</v>
      </c>
      <c r="D45" s="44">
        <v>429.41166920108117</v>
      </c>
      <c r="E45" s="44">
        <v>434.89240954259145</v>
      </c>
      <c r="F45" s="44">
        <v>440.44310260510474</v>
      </c>
      <c r="G45" s="5"/>
      <c r="H45" s="44">
        <v>62</v>
      </c>
      <c r="I45" s="45">
        <v>6.9642514451975487E-2</v>
      </c>
      <c r="J45" s="44">
        <v>66.317835896022473</v>
      </c>
      <c r="K45" s="44">
        <v>70.936376740834959</v>
      </c>
      <c r="L45" s="44">
        <v>75.876564383179328</v>
      </c>
      <c r="M45" s="5"/>
      <c r="N45" s="44">
        <v>177</v>
      </c>
      <c r="O45" s="45">
        <v>4.0014408109349774E-2</v>
      </c>
      <c r="P45" s="44">
        <v>184.08255023535492</v>
      </c>
      <c r="Q45" s="44">
        <v>191.44850452628231</v>
      </c>
      <c r="R45" s="44">
        <v>199.10920311832169</v>
      </c>
      <c r="S45" s="5"/>
      <c r="T45" s="176">
        <v>746</v>
      </c>
      <c r="U45" s="178">
        <v>-2.6330503118398908E-3</v>
      </c>
      <c r="V45" s="176">
        <v>744.03574446736741</v>
      </c>
      <c r="W45" s="176">
        <v>742.07666091837757</v>
      </c>
      <c r="X45" s="176">
        <v>740.12273573493735</v>
      </c>
      <c r="Y45" s="48"/>
      <c r="Z45" s="165">
        <v>323</v>
      </c>
      <c r="AA45" s="167">
        <v>-1.8292123309571352E-2</v>
      </c>
      <c r="AB45" s="165">
        <v>317.09164417100845</v>
      </c>
      <c r="AC45" s="165">
        <v>311.29136471539766</v>
      </c>
      <c r="AD45" s="165">
        <v>305.59718468681888</v>
      </c>
      <c r="AF45" s="171">
        <v>752</v>
      </c>
      <c r="AG45" s="173">
        <v>1.9448314200546241E-2</v>
      </c>
      <c r="AH45" s="171">
        <v>766.62513227881072</v>
      </c>
      <c r="AI45" s="171">
        <v>781.53469872540427</v>
      </c>
      <c r="AJ45" s="171">
        <v>796.73423110484509</v>
      </c>
      <c r="AL45" s="25">
        <v>56</v>
      </c>
      <c r="AM45" s="55">
        <v>0</v>
      </c>
      <c r="AN45" s="25">
        <v>56</v>
      </c>
      <c r="AO45" s="25">
        <v>56</v>
      </c>
      <c r="AP45" s="25">
        <v>56</v>
      </c>
    </row>
    <row r="46" spans="1:42" ht="15.5" x14ac:dyDescent="0.35">
      <c r="A46" s="54" t="s">
        <v>201</v>
      </c>
      <c r="B46" s="44">
        <v>956</v>
      </c>
      <c r="C46" s="45">
        <v>-8.6148767175753542E-4</v>
      </c>
      <c r="D46" s="44">
        <v>955.1764177857998</v>
      </c>
      <c r="E46" s="44">
        <v>954.35354507752379</v>
      </c>
      <c r="F46" s="44">
        <v>953.5313812639414</v>
      </c>
      <c r="G46" s="5"/>
      <c r="H46" s="44">
        <v>552</v>
      </c>
      <c r="I46" s="45">
        <v>0.10029104037789241</v>
      </c>
      <c r="J46" s="44">
        <v>607.36065428859661</v>
      </c>
      <c r="K46" s="44">
        <v>668.27348619179747</v>
      </c>
      <c r="L46" s="44">
        <v>735.29532937893407</v>
      </c>
      <c r="M46" s="5"/>
      <c r="N46" s="44">
        <v>166</v>
      </c>
      <c r="O46" s="45">
        <v>0.18643831276389414</v>
      </c>
      <c r="P46" s="44">
        <v>196.94875991880645</v>
      </c>
      <c r="Q46" s="44">
        <v>233.66755441901</v>
      </c>
      <c r="R46" s="44">
        <v>277.23213901255565</v>
      </c>
      <c r="S46" s="5"/>
      <c r="T46" s="176">
        <v>2025</v>
      </c>
      <c r="U46" s="178">
        <v>-2.6330503118398908E-3</v>
      </c>
      <c r="V46" s="176">
        <v>2019.6680731185243</v>
      </c>
      <c r="W46" s="176">
        <v>2014.3501854687863</v>
      </c>
      <c r="X46" s="176">
        <v>2009.0463000847828</v>
      </c>
      <c r="Y46" s="48"/>
      <c r="Z46" s="165">
        <v>953</v>
      </c>
      <c r="AA46" s="167">
        <v>5.370781566983511E-2</v>
      </c>
      <c r="AB46" s="165">
        <v>1004.183548333353</v>
      </c>
      <c r="AC46" s="165">
        <v>1058.1160532459216</v>
      </c>
      <c r="AD46" s="165">
        <v>1114.9451551909472</v>
      </c>
      <c r="AF46" s="171">
        <v>3419</v>
      </c>
      <c r="AG46" s="173">
        <v>1.9448314200546241E-2</v>
      </c>
      <c r="AH46" s="171">
        <v>3485.4937862516672</v>
      </c>
      <c r="AI46" s="171">
        <v>3553.280764550741</v>
      </c>
      <c r="AJ46" s="171">
        <v>3622.3860853024808</v>
      </c>
      <c r="AL46" s="25">
        <v>100</v>
      </c>
      <c r="AM46" s="55">
        <v>0</v>
      </c>
      <c r="AN46" s="25">
        <v>100</v>
      </c>
      <c r="AO46" s="25">
        <v>100</v>
      </c>
      <c r="AP46" s="25">
        <v>100</v>
      </c>
    </row>
    <row r="47" spans="1:42" ht="15.5" x14ac:dyDescent="0.35">
      <c r="A47" s="54" t="s">
        <v>202</v>
      </c>
      <c r="B47" s="44">
        <v>3477</v>
      </c>
      <c r="C47" s="45">
        <v>4.4972255435885455E-2</v>
      </c>
      <c r="D47" s="44">
        <v>3633.3685321505732</v>
      </c>
      <c r="E47" s="44">
        <v>3796.7693098711566</v>
      </c>
      <c r="F47" s="44">
        <v>3967.5185891058122</v>
      </c>
      <c r="G47" s="5"/>
      <c r="H47" s="44">
        <v>593</v>
      </c>
      <c r="I47" s="45">
        <v>3.8124810920814718E-2</v>
      </c>
      <c r="J47" s="44">
        <v>615.60801287604318</v>
      </c>
      <c r="K47" s="44">
        <v>639.07795196828079</v>
      </c>
      <c r="L47" s="44">
        <v>663.44267805073298</v>
      </c>
      <c r="M47" s="5"/>
      <c r="N47" s="44">
        <v>871</v>
      </c>
      <c r="O47" s="45">
        <v>-3.6868359906671922E-3</v>
      </c>
      <c r="P47" s="44">
        <v>867.7887658521289</v>
      </c>
      <c r="Q47" s="44">
        <v>864.58937099788864</v>
      </c>
      <c r="R47" s="44">
        <v>861.40177178774525</v>
      </c>
      <c r="S47" s="5"/>
      <c r="T47" s="176">
        <v>4311</v>
      </c>
      <c r="U47" s="178">
        <v>-2.6330503118398908E-3</v>
      </c>
      <c r="V47" s="176">
        <v>4299.6489201056584</v>
      </c>
      <c r="W47" s="176">
        <v>4288.3277281757719</v>
      </c>
      <c r="X47" s="176">
        <v>4277.0363455138267</v>
      </c>
      <c r="Y47" s="48"/>
      <c r="Z47" s="165">
        <v>2185</v>
      </c>
      <c r="AA47" s="167">
        <v>-4.799474473460519E-4</v>
      </c>
      <c r="AB47" s="165">
        <v>2183.9513148275491</v>
      </c>
      <c r="AC47" s="165">
        <v>2182.9031329688696</v>
      </c>
      <c r="AD47" s="165">
        <v>2181.8554541823974</v>
      </c>
      <c r="AF47" s="171">
        <v>4687</v>
      </c>
      <c r="AG47" s="173">
        <v>1.9448314200546241E-2</v>
      </c>
      <c r="AH47" s="171">
        <v>4778.1542486579601</v>
      </c>
      <c r="AI47" s="171">
        <v>4871.0812937845349</v>
      </c>
      <c r="AJ47" s="171">
        <v>4965.8156132824597</v>
      </c>
      <c r="AL47" s="25">
        <v>376</v>
      </c>
      <c r="AM47" s="55">
        <v>0</v>
      </c>
      <c r="AN47" s="25">
        <v>376</v>
      </c>
      <c r="AO47" s="25">
        <v>376</v>
      </c>
      <c r="AP47" s="25">
        <v>376</v>
      </c>
    </row>
    <row r="48" spans="1:42" ht="15.5" x14ac:dyDescent="0.35">
      <c r="A48" s="54" t="s">
        <v>203</v>
      </c>
      <c r="B48" s="44">
        <v>1536</v>
      </c>
      <c r="C48" s="45">
        <v>7.0207193935797399E-2</v>
      </c>
      <c r="D48" s="44">
        <v>1643.8382498853848</v>
      </c>
      <c r="E48" s="44">
        <v>1759.2475206941697</v>
      </c>
      <c r="F48" s="44">
        <v>1882.759352560616</v>
      </c>
      <c r="G48" s="5"/>
      <c r="H48" s="44">
        <v>527</v>
      </c>
      <c r="I48" s="45">
        <v>7.4599706216691805E-2</v>
      </c>
      <c r="J48" s="44">
        <v>566.3140451761966</v>
      </c>
      <c r="K48" s="44">
        <v>608.56090657272728</v>
      </c>
      <c r="L48" s="44">
        <v>653.95937141801642</v>
      </c>
      <c r="M48" s="5"/>
      <c r="N48" s="44">
        <v>580</v>
      </c>
      <c r="O48" s="45">
        <v>0.13147359744348208</v>
      </c>
      <c r="P48" s="44">
        <v>656.25468651721951</v>
      </c>
      <c r="Q48" s="44">
        <v>742.53485099278294</v>
      </c>
      <c r="R48" s="44">
        <v>840.15857907996394</v>
      </c>
      <c r="S48" s="5"/>
      <c r="T48" s="176">
        <v>2274</v>
      </c>
      <c r="U48" s="178">
        <v>-2.6330503118398908E-3</v>
      </c>
      <c r="V48" s="176">
        <v>2268.012443590876</v>
      </c>
      <c r="W48" s="176">
        <v>2262.0406527190221</v>
      </c>
      <c r="X48" s="176">
        <v>2256.0845858729858</v>
      </c>
      <c r="Y48" s="48"/>
      <c r="Z48" s="165">
        <v>1299</v>
      </c>
      <c r="AA48" s="167">
        <v>2.0871328865589844E-2</v>
      </c>
      <c r="AB48" s="165">
        <v>1326.1118561964013</v>
      </c>
      <c r="AC48" s="165">
        <v>1353.7895728596343</v>
      </c>
      <c r="AD48" s="165">
        <v>1382.0449602495942</v>
      </c>
      <c r="AF48" s="171">
        <v>2496</v>
      </c>
      <c r="AG48" s="173">
        <v>1.9448314200546241E-2</v>
      </c>
      <c r="AH48" s="171">
        <v>2544.5429922445633</v>
      </c>
      <c r="AI48" s="171">
        <v>2594.0300638545336</v>
      </c>
      <c r="AJ48" s="171">
        <v>2644.4795755820396</v>
      </c>
      <c r="AL48" s="25">
        <v>169</v>
      </c>
      <c r="AM48" s="55">
        <v>0</v>
      </c>
      <c r="AN48" s="25">
        <v>169</v>
      </c>
      <c r="AO48" s="25">
        <v>169</v>
      </c>
      <c r="AP48" s="25">
        <v>169</v>
      </c>
    </row>
    <row r="49" spans="1:42" ht="15.5" x14ac:dyDescent="0.35">
      <c r="A49" s="54" t="s">
        <v>204</v>
      </c>
      <c r="B49" s="44">
        <v>2010</v>
      </c>
      <c r="C49" s="45">
        <v>-3.0613950338576262E-2</v>
      </c>
      <c r="D49" s="44">
        <v>1948.4659598194617</v>
      </c>
      <c r="E49" s="44">
        <v>1888.8157196891423</v>
      </c>
      <c r="F49" s="44">
        <v>1830.9916090478566</v>
      </c>
      <c r="G49" s="5"/>
      <c r="H49" s="44">
        <v>1304</v>
      </c>
      <c r="I49" s="45">
        <v>0.11191853294441043</v>
      </c>
      <c r="J49" s="44">
        <v>1449.9417669595111</v>
      </c>
      <c r="K49" s="44">
        <v>1612.2171223724458</v>
      </c>
      <c r="L49" s="44">
        <v>1792.6540974962288</v>
      </c>
      <c r="M49" s="5"/>
      <c r="N49" s="44">
        <v>1141</v>
      </c>
      <c r="O49" s="45">
        <v>-6.0725233469191234E-3</v>
      </c>
      <c r="P49" s="44">
        <v>1134.0712508611653</v>
      </c>
      <c r="Q49" s="44">
        <v>1127.1845767132411</v>
      </c>
      <c r="R49" s="44">
        <v>1120.3397220548627</v>
      </c>
      <c r="S49" s="5"/>
      <c r="T49" s="180">
        <v>6180</v>
      </c>
      <c r="U49" s="181">
        <v>-2.6330503118398908E-3</v>
      </c>
      <c r="V49" s="180">
        <v>6163.7277490728293</v>
      </c>
      <c r="W49" s="180">
        <v>6147.4983438010368</v>
      </c>
      <c r="X49" s="180">
        <v>6131.3116713698564</v>
      </c>
      <c r="Y49" s="48"/>
      <c r="Z49" s="169">
        <v>2795</v>
      </c>
      <c r="AA49" s="170">
        <v>-2.4286762097280425E-3</v>
      </c>
      <c r="AB49" s="169">
        <v>2788.2118499938101</v>
      </c>
      <c r="AC49" s="169">
        <v>2781.4401862060481</v>
      </c>
      <c r="AD49" s="169">
        <v>2774.6849685970278</v>
      </c>
      <c r="AF49" s="174">
        <v>9795</v>
      </c>
      <c r="AG49" s="175">
        <v>1.9448314200546241E-2</v>
      </c>
      <c r="AH49" s="174">
        <v>9985.4962375943487</v>
      </c>
      <c r="AI49" s="174">
        <v>10179.697305871456</v>
      </c>
      <c r="AJ49" s="174">
        <v>10377.675257542496</v>
      </c>
      <c r="AL49" s="25">
        <v>738</v>
      </c>
      <c r="AM49" s="55">
        <v>0</v>
      </c>
      <c r="AN49" s="25">
        <v>738</v>
      </c>
      <c r="AO49" s="25">
        <v>738</v>
      </c>
      <c r="AP49" s="25">
        <v>738</v>
      </c>
    </row>
    <row r="50" spans="1:42" ht="15.5" x14ac:dyDescent="0.35">
      <c r="A50" s="54" t="s">
        <v>205</v>
      </c>
      <c r="B50" s="44">
        <v>1116</v>
      </c>
      <c r="C50" s="45">
        <v>2.0900188859182046E-3</v>
      </c>
      <c r="D50" s="44">
        <v>1118.3324610766849</v>
      </c>
      <c r="E50" s="44">
        <v>1120.6697970410708</v>
      </c>
      <c r="F50" s="44">
        <v>1123.0120180817648</v>
      </c>
      <c r="G50" s="5"/>
      <c r="H50" s="44">
        <v>260</v>
      </c>
      <c r="I50" s="45">
        <v>2.606786897015332E-2</v>
      </c>
      <c r="J50" s="44">
        <v>266.77764593223986</v>
      </c>
      <c r="K50" s="44">
        <v>273.7319706505674</v>
      </c>
      <c r="L50" s="44">
        <v>280.86757979442825</v>
      </c>
      <c r="M50" s="5"/>
      <c r="N50" s="44">
        <v>730</v>
      </c>
      <c r="O50" s="45">
        <v>0.11194768161616438</v>
      </c>
      <c r="P50" s="44">
        <v>811.72180757980004</v>
      </c>
      <c r="Q50" s="44">
        <v>902.59218205564093</v>
      </c>
      <c r="R50" s="44">
        <v>1003.6352842816449</v>
      </c>
      <c r="S50" s="5"/>
      <c r="T50" s="176">
        <v>3538</v>
      </c>
      <c r="U50" s="178">
        <v>-2.6330503118398908E-3</v>
      </c>
      <c r="V50" s="176">
        <v>3528.6842679967103</v>
      </c>
      <c r="W50" s="176">
        <v>3519.3930647844768</v>
      </c>
      <c r="X50" s="176">
        <v>3510.1263257777587</v>
      </c>
      <c r="Y50" s="48"/>
      <c r="Z50" s="165">
        <v>1575</v>
      </c>
      <c r="AA50" s="167">
        <v>-3.3821062858751041E-2</v>
      </c>
      <c r="AB50" s="165">
        <v>1521.731825997467</v>
      </c>
      <c r="AC50" s="165">
        <v>1470.2652382562446</v>
      </c>
      <c r="AD50" s="165">
        <v>1420.5393052141435</v>
      </c>
      <c r="AF50" s="171">
        <v>4945</v>
      </c>
      <c r="AG50" s="173">
        <v>1.9448314200546241E-2</v>
      </c>
      <c r="AH50" s="171">
        <v>5041.1719137217005</v>
      </c>
      <c r="AI50" s="171">
        <v>5139.2142090387288</v>
      </c>
      <c r="AJ50" s="171">
        <v>5239.1632617200248</v>
      </c>
      <c r="AL50" s="25">
        <v>214</v>
      </c>
      <c r="AM50" s="55">
        <v>0</v>
      </c>
      <c r="AN50" s="25">
        <v>214</v>
      </c>
      <c r="AO50" s="25">
        <v>214</v>
      </c>
      <c r="AP50" s="25">
        <v>214</v>
      </c>
    </row>
    <row r="51" spans="1:42" ht="15.5" x14ac:dyDescent="0.35">
      <c r="A51" s="54" t="s">
        <v>206</v>
      </c>
      <c r="B51" s="44">
        <v>2631</v>
      </c>
      <c r="C51" s="45">
        <v>-1.5227358620964759E-2</v>
      </c>
      <c r="D51" s="44">
        <v>2590.9368194682415</v>
      </c>
      <c r="E51" s="44">
        <v>2551.4836953539366</v>
      </c>
      <c r="F51" s="44">
        <v>2512.6313381092377</v>
      </c>
      <c r="G51" s="5"/>
      <c r="H51" s="44">
        <v>203</v>
      </c>
      <c r="I51" s="45">
        <v>1.6803633501835107E-2</v>
      </c>
      <c r="J51" s="44">
        <v>206.41113760087254</v>
      </c>
      <c r="K51" s="44">
        <v>209.87959470781445</v>
      </c>
      <c r="L51" s="44">
        <v>213.40633449679825</v>
      </c>
      <c r="M51" s="5"/>
      <c r="N51" s="44">
        <v>1101</v>
      </c>
      <c r="O51" s="45">
        <v>0.26310879106690904</v>
      </c>
      <c r="P51" s="44">
        <v>1390.6827789646668</v>
      </c>
      <c r="Q51" s="44">
        <v>1756.5836436956297</v>
      </c>
      <c r="R51" s="44">
        <v>2218.7562425962929</v>
      </c>
      <c r="S51" s="5"/>
      <c r="T51" s="176">
        <v>3453</v>
      </c>
      <c r="U51" s="178">
        <v>-2.6330503118398908E-3</v>
      </c>
      <c r="V51" s="176">
        <v>3443.9080772732168</v>
      </c>
      <c r="W51" s="176">
        <v>3434.8400940364045</v>
      </c>
      <c r="X51" s="176">
        <v>3425.7959872556817</v>
      </c>
      <c r="Y51" s="48"/>
      <c r="Z51" s="165">
        <v>1338</v>
      </c>
      <c r="AA51" s="167">
        <v>-2.6020380370413786E-2</v>
      </c>
      <c r="AB51" s="165">
        <v>1303.1847310643864</v>
      </c>
      <c r="AC51" s="165">
        <v>1269.2753686691756</v>
      </c>
      <c r="AD51" s="165">
        <v>1236.2483407816064</v>
      </c>
      <c r="AF51" s="171">
        <v>2365</v>
      </c>
      <c r="AG51" s="173">
        <v>1.9448314200546241E-2</v>
      </c>
      <c r="AH51" s="171">
        <v>2410.9952630842918</v>
      </c>
      <c r="AI51" s="171">
        <v>2457.8850564967834</v>
      </c>
      <c r="AJ51" s="171">
        <v>2505.6867773443601</v>
      </c>
      <c r="AL51" s="25">
        <v>182</v>
      </c>
      <c r="AM51" s="55">
        <v>0</v>
      </c>
      <c r="AN51" s="25">
        <v>182</v>
      </c>
      <c r="AO51" s="25">
        <v>182</v>
      </c>
      <c r="AP51" s="25">
        <v>182</v>
      </c>
    </row>
    <row r="52" spans="1:42" ht="15.5" x14ac:dyDescent="0.35">
      <c r="A52" s="54" t="s">
        <v>207</v>
      </c>
      <c r="B52" s="44">
        <v>744</v>
      </c>
      <c r="C52" s="45">
        <v>-1.8420567819044487E-2</v>
      </c>
      <c r="D52" s="44">
        <v>730.29509754263097</v>
      </c>
      <c r="E52" s="44">
        <v>716.84264717043129</v>
      </c>
      <c r="F52" s="44">
        <v>703.63799857264496</v>
      </c>
      <c r="G52" s="5"/>
      <c r="H52" s="44">
        <v>454</v>
      </c>
      <c r="I52" s="45">
        <v>8.0341652619698944E-2</v>
      </c>
      <c r="J52" s="44">
        <v>490.47511028934332</v>
      </c>
      <c r="K52" s="44">
        <v>529.88069121881824</v>
      </c>
      <c r="L52" s="44">
        <v>572.45218164260655</v>
      </c>
      <c r="M52" s="5"/>
      <c r="N52" s="44">
        <v>573</v>
      </c>
      <c r="O52" s="45">
        <v>0.2395826926745642</v>
      </c>
      <c r="P52" s="44">
        <v>710.28088290252526</v>
      </c>
      <c r="Q52" s="44">
        <v>880.45188938357899</v>
      </c>
      <c r="R52" s="44">
        <v>1091.3929238125043</v>
      </c>
      <c r="S52" s="5"/>
      <c r="T52" s="176">
        <v>1870</v>
      </c>
      <c r="U52" s="178">
        <v>-2.6330503118398908E-3</v>
      </c>
      <c r="V52" s="176">
        <v>1865.0761959168594</v>
      </c>
      <c r="W52" s="176">
        <v>1860.1653564575954</v>
      </c>
      <c r="X52" s="176">
        <v>1855.267447485701</v>
      </c>
      <c r="Y52" s="48"/>
      <c r="Z52" s="165">
        <v>1144</v>
      </c>
      <c r="AA52" s="167">
        <v>-1.1193128582325041E-2</v>
      </c>
      <c r="AB52" s="165">
        <v>1131.1950609018202</v>
      </c>
      <c r="AC52" s="165">
        <v>1118.5334491334552</v>
      </c>
      <c r="AD52" s="165">
        <v>1106.0135604136728</v>
      </c>
      <c r="AF52" s="171">
        <v>2183</v>
      </c>
      <c r="AG52" s="173">
        <v>1.9448314200546241E-2</v>
      </c>
      <c r="AH52" s="171">
        <v>2225.4556698997922</v>
      </c>
      <c r="AI52" s="171">
        <v>2268.7370310073902</v>
      </c>
      <c r="AJ52" s="171">
        <v>2312.8601416248362</v>
      </c>
      <c r="AL52" s="25">
        <v>210</v>
      </c>
      <c r="AM52" s="55">
        <v>0</v>
      </c>
      <c r="AN52" s="25">
        <v>210</v>
      </c>
      <c r="AO52" s="25">
        <v>210</v>
      </c>
      <c r="AP52" s="25">
        <v>210</v>
      </c>
    </row>
    <row r="53" spans="1:42" ht="15.5" x14ac:dyDescent="0.35">
      <c r="A53" s="54" t="s">
        <v>208</v>
      </c>
      <c r="B53" s="44">
        <v>674</v>
      </c>
      <c r="C53" s="45">
        <v>1.8888770891172398E-3</v>
      </c>
      <c r="D53" s="44">
        <v>675.27310315806506</v>
      </c>
      <c r="E53" s="44">
        <v>676.54861105151747</v>
      </c>
      <c r="F53" s="44">
        <v>677.82652822260673</v>
      </c>
      <c r="G53" s="5"/>
      <c r="H53" s="44">
        <v>418</v>
      </c>
      <c r="I53" s="45">
        <v>0.10293818569125204</v>
      </c>
      <c r="J53" s="44">
        <v>461.02816161894339</v>
      </c>
      <c r="K53" s="44">
        <v>508.48556412857079</v>
      </c>
      <c r="L53" s="44">
        <v>560.82814555015875</v>
      </c>
      <c r="M53" s="5"/>
      <c r="N53" s="44">
        <v>336</v>
      </c>
      <c r="O53" s="45">
        <v>-4.0556084673246097E-2</v>
      </c>
      <c r="P53" s="44">
        <v>322.37315554978932</v>
      </c>
      <c r="Q53" s="44">
        <v>309.29896255693052</v>
      </c>
      <c r="R53" s="44">
        <v>296.75500764212444</v>
      </c>
      <c r="S53" s="5"/>
      <c r="T53" s="176">
        <v>1403</v>
      </c>
      <c r="U53" s="178">
        <v>-2.6330503118398908E-3</v>
      </c>
      <c r="V53" s="176">
        <v>1399.3058304124886</v>
      </c>
      <c r="W53" s="176">
        <v>1395.6213877593616</v>
      </c>
      <c r="X53" s="176">
        <v>1391.9466464291113</v>
      </c>
      <c r="Y53" s="48"/>
      <c r="Z53" s="165">
        <v>822</v>
      </c>
      <c r="AA53" s="167">
        <v>-2.1435931422294295E-2</v>
      </c>
      <c r="AB53" s="165">
        <v>804.37966437087414</v>
      </c>
      <c r="AC53" s="165">
        <v>787.13703704793204</v>
      </c>
      <c r="AD53" s="165">
        <v>770.26402150182469</v>
      </c>
      <c r="AF53" s="171">
        <v>1225</v>
      </c>
      <c r="AG53" s="173">
        <v>1.9448314200546241E-2</v>
      </c>
      <c r="AH53" s="171">
        <v>1248.8241848956691</v>
      </c>
      <c r="AI53" s="171">
        <v>1273.1117100247609</v>
      </c>
      <c r="AJ53" s="171">
        <v>1297.871586573717</v>
      </c>
      <c r="AL53" s="25">
        <v>166</v>
      </c>
      <c r="AM53" s="55">
        <v>0</v>
      </c>
      <c r="AN53" s="25">
        <v>166</v>
      </c>
      <c r="AO53" s="25">
        <v>166</v>
      </c>
      <c r="AP53" s="25">
        <v>166</v>
      </c>
    </row>
    <row r="54" spans="1:42" ht="15.5" x14ac:dyDescent="0.35">
      <c r="A54" s="54" t="s">
        <v>209</v>
      </c>
      <c r="B54" s="44">
        <v>1375</v>
      </c>
      <c r="C54" s="45">
        <v>-3.1396840026841387E-3</v>
      </c>
      <c r="D54" s="44">
        <v>1370.6829344963094</v>
      </c>
      <c r="E54" s="44">
        <v>1366.379423214119</v>
      </c>
      <c r="F54" s="44">
        <v>1362.0894235974567</v>
      </c>
      <c r="G54" s="5"/>
      <c r="H54" s="44">
        <v>925</v>
      </c>
      <c r="I54" s="45">
        <v>0.10396619029839207</v>
      </c>
      <c r="J54" s="44">
        <v>1021.1687260260128</v>
      </c>
      <c r="K54" s="44">
        <v>1127.3357481227999</v>
      </c>
      <c r="L54" s="44">
        <v>1244.5405510423152</v>
      </c>
      <c r="M54" s="5"/>
      <c r="N54" s="44">
        <v>1242</v>
      </c>
      <c r="O54" s="45">
        <v>0.16982492530213522</v>
      </c>
      <c r="P54" s="44">
        <v>1452.9225572252517</v>
      </c>
      <c r="Q54" s="44">
        <v>1699.6650219758171</v>
      </c>
      <c r="R54" s="44">
        <v>1988.3105073715121</v>
      </c>
      <c r="S54" s="5"/>
      <c r="T54" s="176">
        <v>2817</v>
      </c>
      <c r="U54" s="178">
        <v>-2.6330503118398908E-3</v>
      </c>
      <c r="V54" s="176">
        <v>2809.5826972715467</v>
      </c>
      <c r="W54" s="176">
        <v>2802.1849246743559</v>
      </c>
      <c r="X54" s="176">
        <v>2794.8066307846088</v>
      </c>
      <c r="Y54" s="48"/>
      <c r="Z54" s="165">
        <v>1731</v>
      </c>
      <c r="AA54" s="167">
        <v>4.7802591866817831E-2</v>
      </c>
      <c r="AB54" s="165">
        <v>1813.7462865214618</v>
      </c>
      <c r="AC54" s="165">
        <v>1900.4480600060037</v>
      </c>
      <c r="AD54" s="165">
        <v>1991.2944029825567</v>
      </c>
      <c r="AF54" s="171">
        <v>2662</v>
      </c>
      <c r="AG54" s="173">
        <v>1.9448314200546241E-2</v>
      </c>
      <c r="AH54" s="171">
        <v>2713.7714124018539</v>
      </c>
      <c r="AI54" s="171">
        <v>2766.5496914987052</v>
      </c>
      <c r="AJ54" s="171">
        <v>2820.3544191503961</v>
      </c>
      <c r="AL54" s="25">
        <v>490</v>
      </c>
      <c r="AM54" s="55">
        <v>0</v>
      </c>
      <c r="AN54" s="25">
        <v>490</v>
      </c>
      <c r="AO54" s="25">
        <v>490</v>
      </c>
      <c r="AP54" s="25">
        <v>490</v>
      </c>
    </row>
    <row r="55" spans="1:42" ht="15.5" x14ac:dyDescent="0.35">
      <c r="A55" s="54" t="s">
        <v>210</v>
      </c>
      <c r="B55" s="44">
        <v>1984</v>
      </c>
      <c r="C55" s="45">
        <v>2.6160450554136749E-2</v>
      </c>
      <c r="D55" s="44">
        <v>2035.9023338994075</v>
      </c>
      <c r="E55" s="44">
        <v>2089.162456238435</v>
      </c>
      <c r="F55" s="44">
        <v>2143.8158873744196</v>
      </c>
      <c r="G55" s="5"/>
      <c r="H55" s="44">
        <v>0</v>
      </c>
      <c r="I55" s="45">
        <v>6.9642514451975487E-2</v>
      </c>
      <c r="J55" s="44">
        <v>0</v>
      </c>
      <c r="K55" s="44">
        <v>0</v>
      </c>
      <c r="L55" s="44">
        <v>0</v>
      </c>
      <c r="M55" s="5"/>
      <c r="N55" s="44">
        <v>1581</v>
      </c>
      <c r="O55" s="45">
        <v>0.10027808265280769</v>
      </c>
      <c r="P55" s="44">
        <v>1739.5396486740888</v>
      </c>
      <c r="Q55" s="44">
        <v>1913.9773493416649</v>
      </c>
      <c r="R55" s="44">
        <v>2105.90732817455</v>
      </c>
      <c r="S55" s="5"/>
      <c r="T55" s="176">
        <v>2971</v>
      </c>
      <c r="U55" s="178">
        <v>-2.6330503118398908E-3</v>
      </c>
      <c r="V55" s="176">
        <v>2963.1772075235235</v>
      </c>
      <c r="W55" s="176">
        <v>2955.375012853217</v>
      </c>
      <c r="X55" s="176">
        <v>2947.59336175402</v>
      </c>
      <c r="Y55" s="48"/>
      <c r="Z55" s="165">
        <v>1717</v>
      </c>
      <c r="AA55" s="167">
        <v>3.5715229542293357E-2</v>
      </c>
      <c r="AB55" s="165">
        <v>1778.3230491241177</v>
      </c>
      <c r="AC55" s="165">
        <v>1841.8362650239364</v>
      </c>
      <c r="AD55" s="165">
        <v>1907.6178700085866</v>
      </c>
      <c r="AF55" s="171">
        <v>1943</v>
      </c>
      <c r="AG55" s="173">
        <v>1.9448314200546241E-2</v>
      </c>
      <c r="AH55" s="171">
        <v>1980.7880744916613</v>
      </c>
      <c r="AI55" s="171">
        <v>2019.3110633290698</v>
      </c>
      <c r="AJ55" s="171">
        <v>2058.5832593573327</v>
      </c>
      <c r="AL55" s="25">
        <v>368</v>
      </c>
      <c r="AM55" s="55">
        <v>0</v>
      </c>
      <c r="AN55" s="25">
        <v>368</v>
      </c>
      <c r="AO55" s="25">
        <v>368</v>
      </c>
      <c r="AP55" s="25">
        <v>368</v>
      </c>
    </row>
    <row r="56" spans="1:42" ht="15.5" x14ac:dyDescent="0.35">
      <c r="A56" s="54" t="s">
        <v>211</v>
      </c>
      <c r="B56" s="44">
        <v>1395</v>
      </c>
      <c r="C56" s="45">
        <v>6.4237284758354635E-2</v>
      </c>
      <c r="D56" s="44">
        <v>1484.6110122379046</v>
      </c>
      <c r="E56" s="44">
        <v>1579.9783925864199</v>
      </c>
      <c r="F56" s="44">
        <v>1681.471914503041</v>
      </c>
      <c r="G56" s="5"/>
      <c r="H56" s="44">
        <v>729</v>
      </c>
      <c r="I56" s="45">
        <v>0.1120087352766371</v>
      </c>
      <c r="J56" s="44">
        <v>810.6543680166684</v>
      </c>
      <c r="K56" s="44">
        <v>901.45473852469684</v>
      </c>
      <c r="L56" s="44">
        <v>1002.4255436959796</v>
      </c>
      <c r="M56" s="5"/>
      <c r="N56" s="44">
        <v>1524</v>
      </c>
      <c r="O56" s="45">
        <v>0.36507858209122995</v>
      </c>
      <c r="P56" s="44">
        <v>2080.3797591070343</v>
      </c>
      <c r="Q56" s="44">
        <v>2839.8818517731247</v>
      </c>
      <c r="R56" s="44">
        <v>3876.6618915250733</v>
      </c>
      <c r="S56" s="5"/>
      <c r="T56" s="176">
        <v>2752</v>
      </c>
      <c r="U56" s="178">
        <v>-2.6330503118398908E-3</v>
      </c>
      <c r="V56" s="176">
        <v>2744.7538455418166</v>
      </c>
      <c r="W56" s="176">
        <v>2737.5267705728888</v>
      </c>
      <c r="X56" s="176">
        <v>2730.3187248559616</v>
      </c>
      <c r="Y56" s="48"/>
      <c r="Z56" s="165">
        <v>1391</v>
      </c>
      <c r="AA56" s="167">
        <v>1.6061974573840111E-2</v>
      </c>
      <c r="AB56" s="165">
        <v>1413.3422066322116</v>
      </c>
      <c r="AC56" s="165">
        <v>1436.0432732192735</v>
      </c>
      <c r="AD56" s="165">
        <v>1459.1089637606556</v>
      </c>
      <c r="AF56" s="171">
        <v>3256</v>
      </c>
      <c r="AG56" s="173">
        <v>1.9448314200546241E-2</v>
      </c>
      <c r="AH56" s="171">
        <v>3319.3237110369782</v>
      </c>
      <c r="AI56" s="171">
        <v>3383.8789615025485</v>
      </c>
      <c r="AJ56" s="171">
        <v>3449.6897027624677</v>
      </c>
      <c r="AL56" s="25">
        <v>401</v>
      </c>
      <c r="AM56" s="55">
        <v>0</v>
      </c>
      <c r="AN56" s="25">
        <v>401</v>
      </c>
      <c r="AO56" s="25">
        <v>401</v>
      </c>
      <c r="AP56" s="25">
        <v>401</v>
      </c>
    </row>
    <row r="57" spans="1:42" ht="15.5" x14ac:dyDescent="0.35">
      <c r="A57" s="54" t="s">
        <v>212</v>
      </c>
      <c r="B57" s="44">
        <v>2064</v>
      </c>
      <c r="C57" s="45">
        <v>0.13773665873759094</v>
      </c>
      <c r="D57" s="44">
        <v>2348.2884636343879</v>
      </c>
      <c r="E57" s="44">
        <v>2671.7338703674195</v>
      </c>
      <c r="F57" s="44">
        <v>3039.7295667078802</v>
      </c>
      <c r="G57" s="5"/>
      <c r="H57" s="44">
        <v>572</v>
      </c>
      <c r="I57" s="45">
        <v>6.5621167397925423E-2</v>
      </c>
      <c r="J57" s="44">
        <v>609.53530775161335</v>
      </c>
      <c r="K57" s="44">
        <v>649.53372621652795</v>
      </c>
      <c r="L57" s="44">
        <v>692.15688759518105</v>
      </c>
      <c r="M57" s="5"/>
      <c r="N57" s="44">
        <v>1456</v>
      </c>
      <c r="O57" s="45">
        <v>-4.5141725435161153E-3</v>
      </c>
      <c r="P57" s="44">
        <v>1449.4273647766404</v>
      </c>
      <c r="Q57" s="44">
        <v>1442.8843995627446</v>
      </c>
      <c r="R57" s="44">
        <v>1436.3709704227706</v>
      </c>
      <c r="S57" s="5"/>
      <c r="T57" s="176">
        <v>3822</v>
      </c>
      <c r="U57" s="178">
        <v>-2.6330503118398908E-3</v>
      </c>
      <c r="V57" s="176">
        <v>3811.9364817081478</v>
      </c>
      <c r="W57" s="176">
        <v>3801.899461166272</v>
      </c>
      <c r="X57" s="176">
        <v>3791.8888686044643</v>
      </c>
      <c r="Y57" s="48"/>
      <c r="Z57" s="165">
        <v>3009</v>
      </c>
      <c r="AA57" s="167">
        <v>1.3275534360850539E-2</v>
      </c>
      <c r="AB57" s="165">
        <v>3048.9460828917995</v>
      </c>
      <c r="AC57" s="165">
        <v>3089.4224713796107</v>
      </c>
      <c r="AD57" s="165">
        <v>3130.4362055535948</v>
      </c>
      <c r="AF57" s="171">
        <v>2723</v>
      </c>
      <c r="AG57" s="173">
        <v>1.9448314200546241E-2</v>
      </c>
      <c r="AH57" s="171">
        <v>2775.9577595680871</v>
      </c>
      <c r="AI57" s="171">
        <v>2829.9454582836115</v>
      </c>
      <c r="AJ57" s="171">
        <v>2884.98312672672</v>
      </c>
      <c r="AL57" s="25">
        <v>619</v>
      </c>
      <c r="AM57" s="55">
        <v>0</v>
      </c>
      <c r="AN57" s="25">
        <v>619</v>
      </c>
      <c r="AO57" s="25">
        <v>619</v>
      </c>
      <c r="AP57" s="25">
        <v>619</v>
      </c>
    </row>
    <row r="58" spans="1:42" ht="15.5" x14ac:dyDescent="0.35">
      <c r="A58" s="54" t="s">
        <v>213</v>
      </c>
      <c r="B58" s="44">
        <v>949</v>
      </c>
      <c r="C58" s="45">
        <v>1.2691519279647928E-2</v>
      </c>
      <c r="D58" s="44">
        <v>961.04425179638588</v>
      </c>
      <c r="E58" s="44">
        <v>973.24136344665453</v>
      </c>
      <c r="F58" s="44">
        <v>985.59327497458867</v>
      </c>
      <c r="G58" s="5"/>
      <c r="H58" s="44">
        <v>282</v>
      </c>
      <c r="I58" s="45">
        <v>5.1044330662071105E-2</v>
      </c>
      <c r="J58" s="44">
        <v>296.39450124670407</v>
      </c>
      <c r="K58" s="44">
        <v>311.52376017476047</v>
      </c>
      <c r="L58" s="44">
        <v>327.42528199821271</v>
      </c>
      <c r="M58" s="5"/>
      <c r="N58" s="44">
        <v>195</v>
      </c>
      <c r="O58" s="45">
        <v>0.23125779182478795</v>
      </c>
      <c r="P58" s="44">
        <v>240.09526940583365</v>
      </c>
      <c r="Q58" s="44">
        <v>295.61917123620429</v>
      </c>
      <c r="R58" s="44">
        <v>363.9834079973628</v>
      </c>
      <c r="S58" s="5"/>
      <c r="T58" s="176">
        <v>1820</v>
      </c>
      <c r="U58" s="178">
        <v>-2.6330503118398908E-3</v>
      </c>
      <c r="V58" s="176">
        <v>1815.2078484324513</v>
      </c>
      <c r="W58" s="176">
        <v>1810.4283148410821</v>
      </c>
      <c r="X58" s="176">
        <v>1805.661366002126</v>
      </c>
      <c r="Y58" s="48"/>
      <c r="Z58" s="165">
        <v>1037</v>
      </c>
      <c r="AA58" s="167">
        <v>3.0417122481177627E-2</v>
      </c>
      <c r="AB58" s="165">
        <v>1068.5425560129811</v>
      </c>
      <c r="AC58" s="165">
        <v>1101.0445458155784</v>
      </c>
      <c r="AD58" s="165">
        <v>1134.5351526228833</v>
      </c>
      <c r="AF58" s="171">
        <v>1242</v>
      </c>
      <c r="AG58" s="173">
        <v>1.9448314200546241E-2</v>
      </c>
      <c r="AH58" s="171">
        <v>1266.1548062370782</v>
      </c>
      <c r="AI58" s="171">
        <v>1290.7793827353084</v>
      </c>
      <c r="AJ58" s="171">
        <v>1315.8828657343317</v>
      </c>
      <c r="AL58" s="25">
        <v>173</v>
      </c>
      <c r="AM58" s="55">
        <v>0</v>
      </c>
      <c r="AN58" s="25">
        <v>173</v>
      </c>
      <c r="AO58" s="25">
        <v>173</v>
      </c>
      <c r="AP58" s="25">
        <v>173</v>
      </c>
    </row>
    <row r="59" spans="1:42" ht="15.5" x14ac:dyDescent="0.35">
      <c r="A59" s="54" t="s">
        <v>214</v>
      </c>
      <c r="B59" s="44">
        <v>616</v>
      </c>
      <c r="C59" s="45">
        <v>-2.4365590819931178E-2</v>
      </c>
      <c r="D59" s="44">
        <v>600.99079605492238</v>
      </c>
      <c r="E59" s="44">
        <v>586.34730023170346</v>
      </c>
      <c r="F59" s="44">
        <v>572.06060183588647</v>
      </c>
      <c r="G59" s="5"/>
      <c r="H59" s="44">
        <v>176</v>
      </c>
      <c r="I59" s="45">
        <v>4.8422179406029331E-2</v>
      </c>
      <c r="J59" s="44">
        <v>184.52230357546117</v>
      </c>
      <c r="K59" s="44">
        <v>193.45727566360594</v>
      </c>
      <c r="L59" s="44">
        <v>202.82489857319075</v>
      </c>
      <c r="M59" s="5"/>
      <c r="N59" s="44">
        <v>417</v>
      </c>
      <c r="O59" s="45">
        <v>0.40818500710129441</v>
      </c>
      <c r="P59" s="44">
        <v>587.21314796123977</v>
      </c>
      <c r="Q59" s="44">
        <v>826.9047509317719</v>
      </c>
      <c r="R59" s="44">
        <v>1164.4348725629513</v>
      </c>
      <c r="S59" s="5"/>
      <c r="T59" s="176">
        <v>1548</v>
      </c>
      <c r="U59" s="178">
        <v>-2.6330503118398908E-3</v>
      </c>
      <c r="V59" s="176">
        <v>1543.9240381172717</v>
      </c>
      <c r="W59" s="176">
        <v>1539.8588084472499</v>
      </c>
      <c r="X59" s="176">
        <v>1535.8042827314785</v>
      </c>
      <c r="Y59" s="48"/>
      <c r="Z59" s="165">
        <v>539</v>
      </c>
      <c r="AA59" s="167">
        <v>-4.1767223741192218E-2</v>
      </c>
      <c r="AB59" s="165">
        <v>516.48746640349736</v>
      </c>
      <c r="AC59" s="165">
        <v>494.91521883470097</v>
      </c>
      <c r="AD59" s="165">
        <v>474.24398415671089</v>
      </c>
      <c r="AF59" s="171">
        <v>1147</v>
      </c>
      <c r="AG59" s="173">
        <v>1.9448314200546241E-2</v>
      </c>
      <c r="AH59" s="171">
        <v>1169.3072163880265</v>
      </c>
      <c r="AI59" s="171">
        <v>1192.0482705293068</v>
      </c>
      <c r="AJ59" s="171">
        <v>1215.2315998367785</v>
      </c>
      <c r="AL59" s="25">
        <v>122</v>
      </c>
      <c r="AM59" s="55">
        <v>0</v>
      </c>
      <c r="AN59" s="25">
        <v>122</v>
      </c>
      <c r="AO59" s="25">
        <v>122</v>
      </c>
      <c r="AP59" s="25">
        <v>122</v>
      </c>
    </row>
    <row r="60" spans="1:42" ht="15.5" x14ac:dyDescent="0.35">
      <c r="A60" s="54" t="s">
        <v>215</v>
      </c>
      <c r="B60" s="44">
        <v>2004</v>
      </c>
      <c r="C60" s="45">
        <v>1.2386080942092374E-2</v>
      </c>
      <c r="D60" s="44">
        <v>2028.8217062079532</v>
      </c>
      <c r="E60" s="44">
        <v>2053.9508560781187</v>
      </c>
      <c r="F60" s="44">
        <v>2079.391257632582</v>
      </c>
      <c r="G60" s="5"/>
      <c r="H60" s="44">
        <v>724</v>
      </c>
      <c r="I60" s="45">
        <v>6.1149329972264389E-2</v>
      </c>
      <c r="J60" s="44">
        <v>768.2721148999193</v>
      </c>
      <c r="K60" s="44">
        <v>815.25143996242377</v>
      </c>
      <c r="L60" s="44">
        <v>865.10351927504962</v>
      </c>
      <c r="M60" s="5"/>
      <c r="N60" s="44">
        <v>185</v>
      </c>
      <c r="O60" s="45">
        <v>7.078533371438489E-4</v>
      </c>
      <c r="P60" s="44">
        <v>185.1309528673716</v>
      </c>
      <c r="Q60" s="44">
        <v>185.26199843016738</v>
      </c>
      <c r="R60" s="44">
        <v>185.39313675400211</v>
      </c>
      <c r="S60" s="5"/>
      <c r="T60" s="176">
        <v>2659</v>
      </c>
      <c r="U60" s="178">
        <v>-2.6330503118398908E-3</v>
      </c>
      <c r="V60" s="176">
        <v>2651.9987192208177</v>
      </c>
      <c r="W60" s="176">
        <v>2645.0158731661745</v>
      </c>
      <c r="X60" s="176">
        <v>2638.0514132965127</v>
      </c>
      <c r="Y60" s="48"/>
      <c r="Z60" s="165">
        <v>1672</v>
      </c>
      <c r="AA60" s="167">
        <v>6.7024464134977091E-3</v>
      </c>
      <c r="AB60" s="165">
        <v>1683.2064904033682</v>
      </c>
      <c r="AC60" s="165">
        <v>1694.4880917081484</v>
      </c>
      <c r="AD60" s="165">
        <v>1705.8453073411322</v>
      </c>
      <c r="AF60" s="171">
        <v>2216</v>
      </c>
      <c r="AG60" s="173">
        <v>1.9448314200546241E-2</v>
      </c>
      <c r="AH60" s="171">
        <v>2259.0974642684105</v>
      </c>
      <c r="AI60" s="171">
        <v>2303.0331015631596</v>
      </c>
      <c r="AJ60" s="171">
        <v>2347.8232129366183</v>
      </c>
      <c r="AL60" s="25">
        <v>659</v>
      </c>
      <c r="AM60" s="55">
        <v>0</v>
      </c>
      <c r="AN60" s="25">
        <v>659</v>
      </c>
      <c r="AO60" s="25">
        <v>659</v>
      </c>
      <c r="AP60" s="25">
        <v>659</v>
      </c>
    </row>
    <row r="61" spans="1:42" ht="15.5" x14ac:dyDescent="0.35">
      <c r="A61" s="54" t="s">
        <v>216</v>
      </c>
      <c r="B61" s="44">
        <v>223</v>
      </c>
      <c r="C61" s="45">
        <v>7.3697787633398446E-2</v>
      </c>
      <c r="D61" s="44">
        <v>239.43460664224784</v>
      </c>
      <c r="E61" s="44">
        <v>257.08040743465449</v>
      </c>
      <c r="F61" s="44">
        <v>276.0266647064812</v>
      </c>
      <c r="G61" s="5"/>
      <c r="H61" s="44">
        <v>14</v>
      </c>
      <c r="I61" s="45">
        <v>1.5420790009919121E-2</v>
      </c>
      <c r="J61" s="44">
        <v>14.215891060138865</v>
      </c>
      <c r="K61" s="44">
        <v>14.435111330981153</v>
      </c>
      <c r="L61" s="44">
        <v>14.657712151586017</v>
      </c>
      <c r="M61" s="5"/>
      <c r="N61" s="44">
        <v>57</v>
      </c>
      <c r="O61" s="45">
        <v>-0.13525602000130169</v>
      </c>
      <c r="P61" s="44">
        <v>49.290406859925803</v>
      </c>
      <c r="Q61" s="44">
        <v>42.623582603807378</v>
      </c>
      <c r="R61" s="44">
        <v>36.858486462619673</v>
      </c>
      <c r="S61" s="5"/>
      <c r="T61" s="176">
        <v>435</v>
      </c>
      <c r="U61" s="178">
        <v>-2.6330503118398908E-3</v>
      </c>
      <c r="V61" s="176">
        <v>433.85462311434964</v>
      </c>
      <c r="W61" s="176">
        <v>432.71226206366521</v>
      </c>
      <c r="X61" s="176">
        <v>431.57290890710152</v>
      </c>
      <c r="Y61" s="48"/>
      <c r="Z61" s="165">
        <v>106</v>
      </c>
      <c r="AA61" s="167">
        <v>-6.7041326446751426E-2</v>
      </c>
      <c r="AB61" s="165">
        <v>98.893619396644354</v>
      </c>
      <c r="AC61" s="165">
        <v>92.263659975173127</v>
      </c>
      <c r="AD61" s="165">
        <v>86.078181827605476</v>
      </c>
      <c r="AF61" s="171">
        <v>1031</v>
      </c>
      <c r="AG61" s="173">
        <v>1.9448314200546241E-2</v>
      </c>
      <c r="AH61" s="171">
        <v>1051.0512119407631</v>
      </c>
      <c r="AI61" s="171">
        <v>1071.4923861514519</v>
      </c>
      <c r="AJ61" s="171">
        <v>1092.3311067408183</v>
      </c>
      <c r="AL61" s="25">
        <v>59</v>
      </c>
      <c r="AM61" s="55">
        <v>0</v>
      </c>
      <c r="AN61" s="25">
        <v>59</v>
      </c>
      <c r="AO61" s="25">
        <v>59</v>
      </c>
      <c r="AP61" s="25">
        <v>59</v>
      </c>
    </row>
    <row r="62" spans="1:42" ht="15.5" x14ac:dyDescent="0.35">
      <c r="A62" s="54" t="s">
        <v>217</v>
      </c>
      <c r="B62" s="44">
        <v>1153</v>
      </c>
      <c r="C62" s="45">
        <v>3.9852067556318281E-2</v>
      </c>
      <c r="D62" s="44">
        <v>1198.9494338924351</v>
      </c>
      <c r="E62" s="44">
        <v>1246.730047728526</v>
      </c>
      <c r="F62" s="44">
        <v>1296.4148178150951</v>
      </c>
      <c r="G62" s="5"/>
      <c r="H62" s="44">
        <v>188</v>
      </c>
      <c r="I62" s="45">
        <v>2.7266887288790415E-2</v>
      </c>
      <c r="J62" s="44">
        <v>193.12617481029261</v>
      </c>
      <c r="K62" s="44">
        <v>198.3921244513601</v>
      </c>
      <c r="L62" s="44">
        <v>203.80166014775904</v>
      </c>
      <c r="M62" s="5"/>
      <c r="N62" s="44">
        <v>146</v>
      </c>
      <c r="O62" s="45">
        <v>-2.3286090438418137E-2</v>
      </c>
      <c r="P62" s="44">
        <v>142.60023079599097</v>
      </c>
      <c r="Q62" s="44">
        <v>139.27962892513622</v>
      </c>
      <c r="R62" s="44">
        <v>136.03635088975619</v>
      </c>
      <c r="S62" s="5"/>
      <c r="T62" s="176">
        <v>1201</v>
      </c>
      <c r="U62" s="178">
        <v>-2.6330503118398908E-3</v>
      </c>
      <c r="V62" s="176">
        <v>1197.8377065754803</v>
      </c>
      <c r="W62" s="176">
        <v>1194.683739628648</v>
      </c>
      <c r="X62" s="176">
        <v>1191.5380772354688</v>
      </c>
      <c r="Y62" s="48"/>
      <c r="Z62" s="165">
        <v>776</v>
      </c>
      <c r="AA62" s="167">
        <v>-1.8530204908012847E-2</v>
      </c>
      <c r="AB62" s="165">
        <v>761.62056099138204</v>
      </c>
      <c r="AC62" s="165">
        <v>747.50757593405604</v>
      </c>
      <c r="AD62" s="165">
        <v>733.65610738170597</v>
      </c>
      <c r="AF62" s="171">
        <v>1514</v>
      </c>
      <c r="AG62" s="173">
        <v>1.9448314200546241E-2</v>
      </c>
      <c r="AH62" s="171">
        <v>1543.444747699627</v>
      </c>
      <c r="AI62" s="171">
        <v>1573.462146104072</v>
      </c>
      <c r="AJ62" s="171">
        <v>1604.0633323041695</v>
      </c>
      <c r="AL62" s="25">
        <v>220</v>
      </c>
      <c r="AM62" s="55">
        <v>0</v>
      </c>
      <c r="AN62" s="25">
        <v>220</v>
      </c>
      <c r="AO62" s="25">
        <v>220</v>
      </c>
      <c r="AP62" s="25">
        <v>220</v>
      </c>
    </row>
    <row r="63" spans="1:42" ht="15.5" x14ac:dyDescent="0.35">
      <c r="A63" s="54" t="s">
        <v>218</v>
      </c>
      <c r="B63" s="44">
        <v>1522</v>
      </c>
      <c r="C63" s="45">
        <v>-1.0232233107052369E-2</v>
      </c>
      <c r="D63" s="44">
        <v>1506.4265412110663</v>
      </c>
      <c r="E63" s="44">
        <v>1491.0124336827441</v>
      </c>
      <c r="F63" s="44">
        <v>1475.7560468957888</v>
      </c>
      <c r="G63" s="5"/>
      <c r="H63" s="44">
        <v>629</v>
      </c>
      <c r="I63" s="45">
        <v>6.5581291816186965E-2</v>
      </c>
      <c r="J63" s="44">
        <v>670.2506325523816</v>
      </c>
      <c r="K63" s="44">
        <v>714.20653487578318</v>
      </c>
      <c r="L63" s="44">
        <v>761.04512205649962</v>
      </c>
      <c r="M63" s="5"/>
      <c r="N63" s="44">
        <v>573</v>
      </c>
      <c r="O63" s="45">
        <v>3.1573637083057715E-3</v>
      </c>
      <c r="P63" s="44">
        <v>574.80916940485918</v>
      </c>
      <c r="Q63" s="44">
        <v>576.62405101553941</v>
      </c>
      <c r="R63" s="44">
        <v>578.4446628675521</v>
      </c>
      <c r="S63" s="5"/>
      <c r="T63" s="176">
        <v>2868</v>
      </c>
      <c r="U63" s="178">
        <v>-2.6330503118398908E-3</v>
      </c>
      <c r="V63" s="176">
        <v>2860.4484117056431</v>
      </c>
      <c r="W63" s="176">
        <v>2852.9167071231996</v>
      </c>
      <c r="X63" s="176">
        <v>2845.4048338978555</v>
      </c>
      <c r="Y63" s="48"/>
      <c r="Z63" s="165">
        <v>1510</v>
      </c>
      <c r="AA63" s="167">
        <v>3.4553700236737541E-3</v>
      </c>
      <c r="AB63" s="165">
        <v>1515.2176087357473</v>
      </c>
      <c r="AC63" s="165">
        <v>1520.4532462403154</v>
      </c>
      <c r="AD63" s="165">
        <v>1525.7069748097715</v>
      </c>
      <c r="AF63" s="171">
        <v>4349</v>
      </c>
      <c r="AG63" s="173">
        <v>1.9448314200546241E-2</v>
      </c>
      <c r="AH63" s="171">
        <v>4433.5807184581754</v>
      </c>
      <c r="AI63" s="171">
        <v>4519.8063893042336</v>
      </c>
      <c r="AJ63" s="171">
        <v>4607.709004089058</v>
      </c>
      <c r="AL63" s="25">
        <v>216</v>
      </c>
      <c r="AM63" s="55">
        <v>0</v>
      </c>
      <c r="AN63" s="25">
        <v>216</v>
      </c>
      <c r="AO63" s="25">
        <v>216</v>
      </c>
      <c r="AP63" s="25">
        <v>216</v>
      </c>
    </row>
    <row r="64" spans="1:42" ht="15.5" x14ac:dyDescent="0.35">
      <c r="A64" s="54" t="s">
        <v>219</v>
      </c>
      <c r="B64" s="44">
        <v>2010</v>
      </c>
      <c r="C64" s="45">
        <v>1.9930491762204995E-2</v>
      </c>
      <c r="D64" s="44">
        <v>2050.0602884420318</v>
      </c>
      <c r="E64" s="44">
        <v>2090.9189981328491</v>
      </c>
      <c r="F64" s="44">
        <v>2132.5920420005737</v>
      </c>
      <c r="G64" s="5"/>
      <c r="H64" s="44">
        <v>1082</v>
      </c>
      <c r="I64" s="45">
        <v>0.10044541767844709</v>
      </c>
      <c r="J64" s="44">
        <v>1190.6819419280798</v>
      </c>
      <c r="K64" s="44">
        <v>1310.2804869072302</v>
      </c>
      <c r="L64" s="44">
        <v>1441.8921576905459</v>
      </c>
      <c r="M64" s="5"/>
      <c r="N64" s="44">
        <v>3538</v>
      </c>
      <c r="O64" s="45">
        <v>8.2384357741470945E-2</v>
      </c>
      <c r="P64" s="44">
        <v>3829.4758576893241</v>
      </c>
      <c r="Q64" s="44">
        <v>4144.9647667115278</v>
      </c>
      <c r="R64" s="44">
        <v>4486.4450268780829</v>
      </c>
      <c r="S64" s="5"/>
      <c r="T64" s="176">
        <v>4491</v>
      </c>
      <c r="U64" s="178">
        <v>-2.6330503118398908E-3</v>
      </c>
      <c r="V64" s="176">
        <v>4479.1749710495269</v>
      </c>
      <c r="W64" s="176">
        <v>4467.3810779952191</v>
      </c>
      <c r="X64" s="176">
        <v>4455.6182388546958</v>
      </c>
      <c r="Y64" s="48"/>
      <c r="Z64" s="165">
        <v>2882</v>
      </c>
      <c r="AA64" s="167">
        <v>2.7187022467325316E-2</v>
      </c>
      <c r="AB64" s="165">
        <v>2960.3529987508318</v>
      </c>
      <c r="AC64" s="165">
        <v>3040.8361822390848</v>
      </c>
      <c r="AD64" s="165">
        <v>3123.5074638450747</v>
      </c>
      <c r="AF64" s="171">
        <v>3545</v>
      </c>
      <c r="AG64" s="173">
        <v>1.9448314200546241E-2</v>
      </c>
      <c r="AH64" s="171">
        <v>3613.9442738409361</v>
      </c>
      <c r="AI64" s="171">
        <v>3684.2293975818593</v>
      </c>
      <c r="AJ64" s="171">
        <v>3755.8814484929203</v>
      </c>
      <c r="AL64" s="25">
        <v>738</v>
      </c>
      <c r="AM64" s="55">
        <v>0</v>
      </c>
      <c r="AN64" s="25">
        <v>738</v>
      </c>
      <c r="AO64" s="25">
        <v>738</v>
      </c>
      <c r="AP64" s="25">
        <v>738</v>
      </c>
    </row>
    <row r="65" spans="1:42" ht="15.5" x14ac:dyDescent="0.35">
      <c r="A65" s="54" t="s">
        <v>220</v>
      </c>
      <c r="B65" s="44">
        <v>1043</v>
      </c>
      <c r="C65" s="45">
        <v>5.7434812355116544E-3</v>
      </c>
      <c r="D65" s="44">
        <v>1048.9904509286387</v>
      </c>
      <c r="E65" s="44">
        <v>1055.0153078997782</v>
      </c>
      <c r="F65" s="44">
        <v>1061.0747685238782</v>
      </c>
      <c r="G65" s="5"/>
      <c r="H65" s="44">
        <v>653</v>
      </c>
      <c r="I65" s="45">
        <v>0.1197378196199981</v>
      </c>
      <c r="J65" s="44">
        <v>731.18879621185874</v>
      </c>
      <c r="K65" s="44">
        <v>818.73974840083781</v>
      </c>
      <c r="L65" s="44">
        <v>916.77386071057992</v>
      </c>
      <c r="M65" s="5"/>
      <c r="N65" s="44">
        <v>651</v>
      </c>
      <c r="O65" s="45">
        <v>0.31478806055142144</v>
      </c>
      <c r="P65" s="44">
        <v>855.9270274189754</v>
      </c>
      <c r="Q65" s="44">
        <v>1125.362636353738</v>
      </c>
      <c r="R65" s="44">
        <v>1479.613358068566</v>
      </c>
      <c r="S65" s="5"/>
      <c r="T65" s="176">
        <v>2159</v>
      </c>
      <c r="U65" s="178">
        <v>-2.6330503118398908E-3</v>
      </c>
      <c r="V65" s="176">
        <v>2153.3152443767376</v>
      </c>
      <c r="W65" s="176">
        <v>2147.6454570010419</v>
      </c>
      <c r="X65" s="176">
        <v>2141.9905984607635</v>
      </c>
      <c r="Y65" s="48"/>
      <c r="Z65" s="165">
        <v>1197</v>
      </c>
      <c r="AA65" s="167">
        <v>-1.0921326342056314E-2</v>
      </c>
      <c r="AB65" s="165">
        <v>1183.9271723685586</v>
      </c>
      <c r="AC65" s="165">
        <v>1170.9971173538936</v>
      </c>
      <c r="AD65" s="165">
        <v>1158.2082756896646</v>
      </c>
      <c r="AF65" s="171">
        <v>1908</v>
      </c>
      <c r="AG65" s="173">
        <v>1.9448314200546241E-2</v>
      </c>
      <c r="AH65" s="171">
        <v>1945.1073834946421</v>
      </c>
      <c r="AI65" s="171">
        <v>1982.9364430426481</v>
      </c>
      <c r="AJ65" s="171">
        <v>2021.5012140266549</v>
      </c>
      <c r="AL65" s="25">
        <v>204</v>
      </c>
      <c r="AM65" s="55">
        <v>0</v>
      </c>
      <c r="AN65" s="25">
        <v>204</v>
      </c>
      <c r="AO65" s="25">
        <v>204</v>
      </c>
      <c r="AP65" s="25">
        <v>204</v>
      </c>
    </row>
    <row r="66" spans="1:42" ht="15.5" x14ac:dyDescent="0.35">
      <c r="A66" s="54" t="s">
        <v>221</v>
      </c>
      <c r="B66" s="44">
        <v>1304</v>
      </c>
      <c r="C66" s="45">
        <v>-1.525942487608864E-2</v>
      </c>
      <c r="D66" s="44">
        <v>1284.1017099615804</v>
      </c>
      <c r="E66" s="44">
        <v>1264.5070563851646</v>
      </c>
      <c r="F66" s="44">
        <v>1245.2114059529711</v>
      </c>
      <c r="G66" s="5"/>
      <c r="H66" s="44">
        <v>1409</v>
      </c>
      <c r="I66" s="45">
        <v>0.13951957319380348</v>
      </c>
      <c r="J66" s="44">
        <v>1605.5830786300692</v>
      </c>
      <c r="K66" s="44">
        <v>1829.5933444877294</v>
      </c>
      <c r="L66" s="44">
        <v>2084.8574270288809</v>
      </c>
      <c r="M66" s="5"/>
      <c r="N66" s="44">
        <v>675</v>
      </c>
      <c r="O66" s="45">
        <v>-5.8162641095495628E-3</v>
      </c>
      <c r="P66" s="44">
        <v>671.07402172605407</v>
      </c>
      <c r="Q66" s="44">
        <v>667.17087797863769</v>
      </c>
      <c r="R66" s="44">
        <v>663.2904359461138</v>
      </c>
      <c r="S66" s="5"/>
      <c r="T66" s="176">
        <v>5569</v>
      </c>
      <c r="U66" s="178">
        <v>-2.6330503118398908E-3</v>
      </c>
      <c r="V66" s="176">
        <v>5554.3365428133638</v>
      </c>
      <c r="W66" s="176">
        <v>5539.7116952472452</v>
      </c>
      <c r="X66" s="176">
        <v>5525.1253556405709</v>
      </c>
      <c r="Y66" s="48"/>
      <c r="Z66" s="165">
        <v>2747</v>
      </c>
      <c r="AA66" s="167">
        <v>4.3863516171714467E-2</v>
      </c>
      <c r="AB66" s="165">
        <v>2867.4930789236996</v>
      </c>
      <c r="AC66" s="165">
        <v>2993.2714079633488</v>
      </c>
      <c r="AD66" s="165">
        <v>3124.5668167728795</v>
      </c>
      <c r="AF66" s="171">
        <v>5160</v>
      </c>
      <c r="AG66" s="173">
        <v>1.9448314200546241E-2</v>
      </c>
      <c r="AH66" s="171">
        <v>5260.3533012748185</v>
      </c>
      <c r="AI66" s="171">
        <v>5362.6583050838917</v>
      </c>
      <c r="AJ66" s="171">
        <v>5466.9529687513314</v>
      </c>
      <c r="AL66" s="25">
        <v>563</v>
      </c>
      <c r="AM66" s="55">
        <v>0</v>
      </c>
      <c r="AN66" s="25">
        <v>563</v>
      </c>
      <c r="AO66" s="25">
        <v>563</v>
      </c>
      <c r="AP66" s="25">
        <v>563</v>
      </c>
    </row>
    <row r="67" spans="1:42" ht="15.5" x14ac:dyDescent="0.35">
      <c r="A67" s="54" t="s">
        <v>222</v>
      </c>
      <c r="B67" s="44">
        <v>3518</v>
      </c>
      <c r="C67" s="45">
        <v>3.8081442585497741E-2</v>
      </c>
      <c r="D67" s="44">
        <v>3651.9705150157815</v>
      </c>
      <c r="E67" s="44">
        <v>3791.0428205072858</v>
      </c>
      <c r="F67" s="44">
        <v>3935.4112000155978</v>
      </c>
      <c r="G67" s="5"/>
      <c r="H67" s="44">
        <v>1871</v>
      </c>
      <c r="I67" s="45">
        <v>0.11023382095266088</v>
      </c>
      <c r="J67" s="44">
        <v>2077.2474790024289</v>
      </c>
      <c r="K67" s="44">
        <v>2306.2304056771491</v>
      </c>
      <c r="L67" s="44">
        <v>2560.4549952921466</v>
      </c>
      <c r="M67" s="5"/>
      <c r="N67" s="44">
        <v>2144</v>
      </c>
      <c r="O67" s="45">
        <v>4.6384492140667463E-2</v>
      </c>
      <c r="P67" s="44">
        <v>2243.448351149591</v>
      </c>
      <c r="Q67" s="44">
        <v>2347.5095635614825</v>
      </c>
      <c r="R67" s="44">
        <v>2456.3976024626418</v>
      </c>
      <c r="S67" s="5"/>
      <c r="T67" s="176">
        <v>3828</v>
      </c>
      <c r="U67" s="178">
        <v>-2.6330503118398908E-3</v>
      </c>
      <c r="V67" s="176">
        <v>3817.920683406277</v>
      </c>
      <c r="W67" s="176">
        <v>3807.8679061602543</v>
      </c>
      <c r="X67" s="176">
        <v>3797.8415983824939</v>
      </c>
      <c r="Y67" s="48"/>
      <c r="Z67" s="165">
        <v>3263</v>
      </c>
      <c r="AA67" s="167">
        <v>1.4626403739430361E-3</v>
      </c>
      <c r="AB67" s="165">
        <v>3267.7725955401761</v>
      </c>
      <c r="AC67" s="165">
        <v>3272.5521716712778</v>
      </c>
      <c r="AD67" s="165">
        <v>3277.3387386033992</v>
      </c>
      <c r="AF67" s="171">
        <v>3083</v>
      </c>
      <c r="AG67" s="173">
        <v>1.9448314200546241E-2</v>
      </c>
      <c r="AH67" s="171">
        <v>3142.9591526802838</v>
      </c>
      <c r="AI67" s="171">
        <v>3204.0844098010921</v>
      </c>
      <c r="AJ67" s="171">
        <v>3266.3984501279751</v>
      </c>
      <c r="AL67" s="25">
        <v>844</v>
      </c>
      <c r="AM67" s="55">
        <v>0</v>
      </c>
      <c r="AN67" s="25">
        <v>844</v>
      </c>
      <c r="AO67" s="25">
        <v>844</v>
      </c>
      <c r="AP67" s="25">
        <v>844</v>
      </c>
    </row>
    <row r="68" spans="1:42" ht="15.5" x14ac:dyDescent="0.35">
      <c r="A68" s="54" t="s">
        <v>223</v>
      </c>
      <c r="B68" s="44">
        <v>968</v>
      </c>
      <c r="C68" s="45">
        <v>3.2802523198102874E-2</v>
      </c>
      <c r="D68" s="44">
        <v>999.75284245576358</v>
      </c>
      <c r="E68" s="44">
        <v>1032.5472582627881</v>
      </c>
      <c r="F68" s="44">
        <v>1066.4174136550907</v>
      </c>
      <c r="G68" s="5"/>
      <c r="H68" s="44">
        <v>110</v>
      </c>
      <c r="I68" s="45">
        <v>2.3627234329198849E-2</v>
      </c>
      <c r="J68" s="44">
        <v>112.59899577621186</v>
      </c>
      <c r="K68" s="44">
        <v>115.25939863464889</v>
      </c>
      <c r="L68" s="44">
        <v>117.98265945483227</v>
      </c>
      <c r="M68" s="5"/>
      <c r="N68" s="44">
        <v>206</v>
      </c>
      <c r="O68" s="45">
        <v>0.10871388581100547</v>
      </c>
      <c r="P68" s="44">
        <v>228.39506047706712</v>
      </c>
      <c r="Q68" s="44">
        <v>253.2247750015687</v>
      </c>
      <c r="R68" s="44">
        <v>280.7538242756068</v>
      </c>
      <c r="S68" s="5"/>
      <c r="T68" s="176">
        <v>1915</v>
      </c>
      <c r="U68" s="178">
        <v>-2.6330503118398908E-3</v>
      </c>
      <c r="V68" s="176">
        <v>1909.9577086528266</v>
      </c>
      <c r="W68" s="176">
        <v>1904.9286939124572</v>
      </c>
      <c r="X68" s="176">
        <v>1899.9129208209183</v>
      </c>
      <c r="Y68" s="48"/>
      <c r="Z68" s="165">
        <v>558</v>
      </c>
      <c r="AA68" s="167">
        <v>-2.1780297931007952E-2</v>
      </c>
      <c r="AB68" s="165">
        <v>545.84659375449758</v>
      </c>
      <c r="AC68" s="165">
        <v>533.95789231789877</v>
      </c>
      <c r="AD68" s="165">
        <v>522.32813034060189</v>
      </c>
      <c r="AF68" s="171">
        <v>1217</v>
      </c>
      <c r="AG68" s="173">
        <v>1.9448314200546241E-2</v>
      </c>
      <c r="AH68" s="171">
        <v>1240.6685983820646</v>
      </c>
      <c r="AI68" s="171">
        <v>1264.7975111021501</v>
      </c>
      <c r="AJ68" s="171">
        <v>1289.3956904981335</v>
      </c>
      <c r="AL68" s="25">
        <v>109</v>
      </c>
      <c r="AM68" s="55">
        <v>0</v>
      </c>
      <c r="AN68" s="25">
        <v>109</v>
      </c>
      <c r="AO68" s="25">
        <v>109</v>
      </c>
      <c r="AP68" s="25">
        <v>109</v>
      </c>
    </row>
    <row r="69" spans="1:42" ht="15.5" x14ac:dyDescent="0.35">
      <c r="A69" s="54" t="s">
        <v>224</v>
      </c>
      <c r="B69" s="44">
        <v>762</v>
      </c>
      <c r="C69" s="45">
        <v>6.6543413740399168E-2</v>
      </c>
      <c r="D69" s="44">
        <v>812.70608127018409</v>
      </c>
      <c r="E69" s="44">
        <v>866.7863182854843</v>
      </c>
      <c r="F69" s="44">
        <v>924.46523888767251</v>
      </c>
      <c r="G69" s="5"/>
      <c r="H69" s="44">
        <v>120</v>
      </c>
      <c r="I69" s="45">
        <v>3.3289511917952506E-2</v>
      </c>
      <c r="J69" s="44">
        <v>123.99474143015431</v>
      </c>
      <c r="K69" s="44">
        <v>128.12246585275687</v>
      </c>
      <c r="L69" s="44">
        <v>132.3876002067197</v>
      </c>
      <c r="M69" s="5"/>
      <c r="N69" s="44">
        <v>277</v>
      </c>
      <c r="O69" s="45">
        <v>0.18420276774267924</v>
      </c>
      <c r="P69" s="44">
        <v>328.02416666472215</v>
      </c>
      <c r="Q69" s="44">
        <v>388.44712605084987</v>
      </c>
      <c r="R69" s="44">
        <v>460.00016179110582</v>
      </c>
      <c r="S69" s="5"/>
      <c r="T69" s="176">
        <v>983</v>
      </c>
      <c r="U69" s="178">
        <v>-2.6330503118398908E-3</v>
      </c>
      <c r="V69" s="176">
        <v>980.41171154346137</v>
      </c>
      <c r="W69" s="176">
        <v>977.83023818065033</v>
      </c>
      <c r="X69" s="176">
        <v>975.25556196708226</v>
      </c>
      <c r="Y69" s="48"/>
      <c r="Z69" s="165">
        <v>426</v>
      </c>
      <c r="AA69" s="167">
        <v>7.1475643349663234E-2</v>
      </c>
      <c r="AB69" s="165">
        <v>456.44862406695654</v>
      </c>
      <c r="AC69" s="165">
        <v>489.07358312821083</v>
      </c>
      <c r="AD69" s="165">
        <v>524.03043212762475</v>
      </c>
      <c r="AF69" s="171">
        <v>877</v>
      </c>
      <c r="AG69" s="173">
        <v>1.9448314200546241E-2</v>
      </c>
      <c r="AH69" s="171">
        <v>894.05617155387893</v>
      </c>
      <c r="AI69" s="171">
        <v>911.44405689119617</v>
      </c>
      <c r="AJ69" s="171">
        <v>929.17010728583659</v>
      </c>
      <c r="AL69" s="25">
        <v>133</v>
      </c>
      <c r="AM69" s="55">
        <v>0</v>
      </c>
      <c r="AN69" s="25">
        <v>133</v>
      </c>
      <c r="AO69" s="25">
        <v>133</v>
      </c>
      <c r="AP69" s="25">
        <v>133</v>
      </c>
    </row>
    <row r="70" spans="1:42" ht="15.5" x14ac:dyDescent="0.35">
      <c r="A70" s="54" t="s">
        <v>225</v>
      </c>
      <c r="B70" s="44">
        <v>360</v>
      </c>
      <c r="C70" s="45">
        <v>5.9472398766876579E-2</v>
      </c>
      <c r="D70" s="44">
        <v>381.41006355607556</v>
      </c>
      <c r="E70" s="44">
        <v>404.09343494958222</v>
      </c>
      <c r="F70" s="44">
        <v>428.12584085198068</v>
      </c>
      <c r="G70" s="5"/>
      <c r="H70" s="44">
        <v>105</v>
      </c>
      <c r="I70" s="45">
        <v>5.9950667593992438E-2</v>
      </c>
      <c r="J70" s="44">
        <v>111.29482009736921</v>
      </c>
      <c r="K70" s="44">
        <v>117.96701886195979</v>
      </c>
      <c r="L70" s="44">
        <v>125.03922039680738</v>
      </c>
      <c r="M70" s="5"/>
      <c r="N70" s="44">
        <v>60</v>
      </c>
      <c r="O70" s="45">
        <v>0.75364787228141261</v>
      </c>
      <c r="P70" s="44">
        <v>105.21887233688476</v>
      </c>
      <c r="Q70" s="44">
        <v>184.51685159742755</v>
      </c>
      <c r="R70" s="44">
        <v>323.57758420389399</v>
      </c>
      <c r="S70" s="5"/>
      <c r="T70" s="176">
        <v>303</v>
      </c>
      <c r="U70" s="178">
        <v>-2.6330503118398908E-3</v>
      </c>
      <c r="V70" s="176">
        <v>302.20218575551252</v>
      </c>
      <c r="W70" s="176">
        <v>301.40647219607024</v>
      </c>
      <c r="X70" s="176">
        <v>300.61285379046382</v>
      </c>
      <c r="Y70" s="48"/>
      <c r="Z70" s="165">
        <v>258</v>
      </c>
      <c r="AA70" s="167">
        <v>9.3291928898744644E-2</v>
      </c>
      <c r="AB70" s="165">
        <v>282.06931765587609</v>
      </c>
      <c r="AC70" s="165">
        <v>308.38410838314547</v>
      </c>
      <c r="AD70" s="165">
        <v>337.15385669592865</v>
      </c>
      <c r="AF70" s="171">
        <v>1926</v>
      </c>
      <c r="AG70" s="173">
        <v>1.9448314200546241E-2</v>
      </c>
      <c r="AH70" s="171">
        <v>1963.4574531502519</v>
      </c>
      <c r="AI70" s="171">
        <v>2001.6433906185221</v>
      </c>
      <c r="AJ70" s="171">
        <v>2040.5719801967177</v>
      </c>
      <c r="AL70" s="25">
        <v>41</v>
      </c>
      <c r="AM70" s="55">
        <v>0</v>
      </c>
      <c r="AN70" s="25">
        <v>41</v>
      </c>
      <c r="AO70" s="25">
        <v>41</v>
      </c>
      <c r="AP70" s="25">
        <v>41</v>
      </c>
    </row>
    <row r="71" spans="1:42" ht="15.5" x14ac:dyDescent="0.35">
      <c r="A71" s="54" t="s">
        <v>226</v>
      </c>
      <c r="B71" s="44">
        <v>616</v>
      </c>
      <c r="C71" s="45">
        <v>-6.2405265621693705E-2</v>
      </c>
      <c r="D71" s="44">
        <v>577.55835637703672</v>
      </c>
      <c r="E71" s="44">
        <v>541.51567373529895</v>
      </c>
      <c r="F71" s="44">
        <v>507.72224427753719</v>
      </c>
      <c r="G71" s="5"/>
      <c r="H71" s="44">
        <v>532</v>
      </c>
      <c r="I71" s="45">
        <v>8.2208102328667751E-2</v>
      </c>
      <c r="J71" s="44">
        <v>575.73471043885127</v>
      </c>
      <c r="K71" s="44">
        <v>623.0647684287743</v>
      </c>
      <c r="L71" s="44">
        <v>674.28574066915473</v>
      </c>
      <c r="M71" s="5"/>
      <c r="N71" s="44">
        <v>283</v>
      </c>
      <c r="O71" s="45">
        <v>-1.8911629618509829E-2</v>
      </c>
      <c r="P71" s="44">
        <v>277.64800881796174</v>
      </c>
      <c r="Q71" s="44">
        <v>272.39723251087969</v>
      </c>
      <c r="R71" s="44">
        <v>267.24575694052686</v>
      </c>
      <c r="S71" s="5"/>
      <c r="T71" s="176">
        <v>1911</v>
      </c>
      <c r="U71" s="178">
        <v>-2.6330503118398908E-3</v>
      </c>
      <c r="V71" s="176">
        <v>1905.9682408540739</v>
      </c>
      <c r="W71" s="176">
        <v>1900.949730583136</v>
      </c>
      <c r="X71" s="176">
        <v>1895.9444343022321</v>
      </c>
      <c r="Y71" s="48"/>
      <c r="Z71" s="165">
        <v>1276</v>
      </c>
      <c r="AA71" s="167">
        <v>2.2822181586866729E-2</v>
      </c>
      <c r="AB71" s="165">
        <v>1305.121103704842</v>
      </c>
      <c r="AC71" s="165">
        <v>1334.9068145264459</v>
      </c>
      <c r="AD71" s="165">
        <v>1365.3723002491145</v>
      </c>
      <c r="AF71" s="171">
        <v>2672</v>
      </c>
      <c r="AG71" s="173">
        <v>1.9448314200546241E-2</v>
      </c>
      <c r="AH71" s="171">
        <v>2723.9658955438595</v>
      </c>
      <c r="AI71" s="171">
        <v>2776.9424401519686</v>
      </c>
      <c r="AJ71" s="171">
        <v>2830.9492892448757</v>
      </c>
      <c r="AL71" s="25">
        <v>257</v>
      </c>
      <c r="AM71" s="55">
        <v>0</v>
      </c>
      <c r="AN71" s="25">
        <v>257</v>
      </c>
      <c r="AO71" s="25">
        <v>257</v>
      </c>
      <c r="AP71" s="25">
        <v>257</v>
      </c>
    </row>
    <row r="72" spans="1:42" ht="15.5" x14ac:dyDescent="0.35">
      <c r="A72" s="54" t="s">
        <v>227</v>
      </c>
      <c r="B72" s="44">
        <v>1340</v>
      </c>
      <c r="C72" s="45">
        <v>-1.1699458608882839E-2</v>
      </c>
      <c r="D72" s="44">
        <v>1324.3227254640969</v>
      </c>
      <c r="E72" s="44">
        <v>1308.8288665527268</v>
      </c>
      <c r="F72" s="44">
        <v>1293.516277402382</v>
      </c>
      <c r="G72" s="5"/>
      <c r="H72" s="44">
        <v>470</v>
      </c>
      <c r="I72" s="45">
        <v>5.8642053278184128E-2</v>
      </c>
      <c r="J72" s="44">
        <v>497.56176504074654</v>
      </c>
      <c r="K72" s="44">
        <v>526.73980857545337</v>
      </c>
      <c r="L72" s="44">
        <v>557.62891249367567</v>
      </c>
      <c r="M72" s="5"/>
      <c r="N72" s="44">
        <v>364</v>
      </c>
      <c r="O72" s="45">
        <v>7.5076356219271959E-2</v>
      </c>
      <c r="P72" s="44">
        <v>391.32779366381499</v>
      </c>
      <c r="Q72" s="44">
        <v>420.70725849942136</v>
      </c>
      <c r="R72" s="44">
        <v>452.29242650255725</v>
      </c>
      <c r="S72" s="5"/>
      <c r="T72" s="176">
        <v>2995</v>
      </c>
      <c r="U72" s="178">
        <v>-2.6330503118398908E-3</v>
      </c>
      <c r="V72" s="176">
        <v>2987.1140143160396</v>
      </c>
      <c r="W72" s="176">
        <v>2979.2487928291434</v>
      </c>
      <c r="X72" s="176">
        <v>2971.4042808661361</v>
      </c>
      <c r="Y72" s="48"/>
      <c r="Z72" s="165">
        <v>1549</v>
      </c>
      <c r="AA72" s="167">
        <v>2.5437080143443126E-2</v>
      </c>
      <c r="AB72" s="165">
        <v>1588.4020371421934</v>
      </c>
      <c r="AC72" s="165">
        <v>1628.8063470609877</v>
      </c>
      <c r="AD72" s="165">
        <v>1670.238424649327</v>
      </c>
      <c r="AF72" s="171">
        <v>2734</v>
      </c>
      <c r="AG72" s="173">
        <v>1.9448314200546241E-2</v>
      </c>
      <c r="AH72" s="171">
        <v>2787.1716910242931</v>
      </c>
      <c r="AI72" s="171">
        <v>2841.3774818022011</v>
      </c>
      <c r="AJ72" s="171">
        <v>2896.6374838306469</v>
      </c>
      <c r="AL72" s="25">
        <v>64</v>
      </c>
      <c r="AM72" s="55">
        <v>0</v>
      </c>
      <c r="AN72" s="25">
        <v>64</v>
      </c>
      <c r="AO72" s="25">
        <v>64</v>
      </c>
      <c r="AP72" s="25">
        <v>64</v>
      </c>
    </row>
    <row r="73" spans="1:42" ht="15.5" x14ac:dyDescent="0.35">
      <c r="A73" s="54" t="s">
        <v>228</v>
      </c>
      <c r="B73" s="44">
        <v>1061</v>
      </c>
      <c r="C73" s="45">
        <v>7.9097344922519991E-2</v>
      </c>
      <c r="D73" s="44">
        <v>1144.9222829627938</v>
      </c>
      <c r="E73" s="44">
        <v>1235.482595687781</v>
      </c>
      <c r="F73" s="44">
        <v>1333.2059887046678</v>
      </c>
      <c r="G73" s="5"/>
      <c r="H73" s="44">
        <v>188</v>
      </c>
      <c r="I73" s="45">
        <v>4.0006393035536984E-2</v>
      </c>
      <c r="J73" s="44">
        <v>195.52120189068094</v>
      </c>
      <c r="K73" s="44">
        <v>203.34329994030011</v>
      </c>
      <c r="L73" s="44">
        <v>211.47833191885485</v>
      </c>
      <c r="M73" s="5"/>
      <c r="N73" s="44">
        <v>61</v>
      </c>
      <c r="O73" s="45">
        <v>-5.7690527427369534E-2</v>
      </c>
      <c r="P73" s="44">
        <v>57.480877826930453</v>
      </c>
      <c r="Q73" s="44">
        <v>54.164775668106643</v>
      </c>
      <c r="R73" s="44">
        <v>51.039981191828417</v>
      </c>
      <c r="S73" s="5"/>
      <c r="T73" s="176">
        <v>1463</v>
      </c>
      <c r="U73" s="178">
        <v>-2.6330503118398908E-3</v>
      </c>
      <c r="V73" s="176">
        <v>1459.1478473937782</v>
      </c>
      <c r="W73" s="176">
        <v>1455.3058376991776</v>
      </c>
      <c r="X73" s="176">
        <v>1451.4739442094012</v>
      </c>
      <c r="Y73" s="48"/>
      <c r="Z73" s="165">
        <v>657</v>
      </c>
      <c r="AA73" s="167">
        <v>1.2380394298854047E-2</v>
      </c>
      <c r="AB73" s="165">
        <v>665.13391905434707</v>
      </c>
      <c r="AC73" s="165">
        <v>673.36853923378203</v>
      </c>
      <c r="AD73" s="165">
        <v>681.70510725793963</v>
      </c>
      <c r="AF73" s="171">
        <v>1360</v>
      </c>
      <c r="AG73" s="173">
        <v>1.9448314200546241E-2</v>
      </c>
      <c r="AH73" s="171">
        <v>1386.4497073127427</v>
      </c>
      <c r="AI73" s="171">
        <v>1413.4138168438162</v>
      </c>
      <c r="AJ73" s="171">
        <v>1440.902332849188</v>
      </c>
      <c r="AL73" s="25">
        <v>84</v>
      </c>
      <c r="AM73" s="55">
        <v>0</v>
      </c>
      <c r="AN73" s="25">
        <v>84</v>
      </c>
      <c r="AO73" s="25">
        <v>84</v>
      </c>
      <c r="AP73" s="25">
        <v>84</v>
      </c>
    </row>
    <row r="74" spans="1:42" ht="15.5" x14ac:dyDescent="0.35">
      <c r="A74" s="54"/>
      <c r="B74" s="44"/>
      <c r="C74" s="5"/>
      <c r="D74" s="5"/>
      <c r="E74" s="5"/>
      <c r="F74" s="5"/>
      <c r="G74" s="5"/>
      <c r="H74" s="5"/>
      <c r="I74" s="5"/>
      <c r="J74" s="5"/>
      <c r="K74" s="5"/>
      <c r="L74" s="5"/>
      <c r="M74" s="5"/>
      <c r="N74" s="5"/>
      <c r="O74" s="5"/>
      <c r="P74" s="5"/>
      <c r="Q74" s="5"/>
      <c r="R74" s="5"/>
      <c r="S74" s="5"/>
      <c r="T74" s="5"/>
      <c r="U74" s="48"/>
      <c r="W74" s="48"/>
      <c r="X74" s="48"/>
      <c r="Y74" s="48"/>
      <c r="Z74" s="5"/>
      <c r="AA74" s="48"/>
      <c r="AB74" s="48"/>
      <c r="AC74" s="48"/>
      <c r="AD74" s="48"/>
    </row>
    <row r="75" spans="1:42" s="2" customFormat="1" x14ac:dyDescent="0.35">
      <c r="A75" s="33" t="s">
        <v>154</v>
      </c>
      <c r="B75" s="46">
        <f>SUM(B2:B73)</f>
        <v>101545</v>
      </c>
      <c r="C75" s="47">
        <f>AVERAGE(C2:C73)</f>
        <v>2.2723904384524801E-2</v>
      </c>
      <c r="D75" s="46">
        <f>SUM(D2:D73)</f>
        <v>104925.67618724178</v>
      </c>
      <c r="E75" s="46">
        <f t="shared" ref="E75:AP75" si="0">SUM(E2:E73)</f>
        <v>108626.10661216825</v>
      </c>
      <c r="F75" s="46">
        <f t="shared" si="0"/>
        <v>112676.68263611433</v>
      </c>
      <c r="G75" s="46"/>
      <c r="H75" s="46">
        <f t="shared" si="0"/>
        <v>38663</v>
      </c>
      <c r="I75" s="205">
        <f>AVERAGE(I2:I73)</f>
        <v>7.203031505905827E-2</v>
      </c>
      <c r="J75" s="46">
        <f t="shared" si="0"/>
        <v>41916.833331273272</v>
      </c>
      <c r="K75" s="46">
        <f t="shared" si="0"/>
        <v>45478.858980937388</v>
      </c>
      <c r="L75" s="46">
        <f t="shared" si="0"/>
        <v>49381.191269579183</v>
      </c>
      <c r="M75" s="46"/>
      <c r="N75" s="46">
        <f t="shared" si="0"/>
        <v>60262</v>
      </c>
      <c r="O75" s="206">
        <f>AVERAGE(O2:O73)</f>
        <v>0.11677230791251286</v>
      </c>
      <c r="P75" s="46">
        <f t="shared" si="0"/>
        <v>69022.227816838713</v>
      </c>
      <c r="Q75" s="46">
        <f t="shared" si="0"/>
        <v>79871.986017305317</v>
      </c>
      <c r="R75" s="46">
        <f t="shared" si="0"/>
        <v>93391.305522875744</v>
      </c>
      <c r="S75" s="46"/>
      <c r="T75" s="46">
        <f t="shared" si="0"/>
        <v>192108</v>
      </c>
      <c r="U75" s="47">
        <f>AVERAGE(U2:U73)</f>
        <v>-2.6330503118398873E-3</v>
      </c>
      <c r="V75" s="46">
        <f t="shared" si="0"/>
        <v>191602.16997069304</v>
      </c>
      <c r="W75" s="46">
        <f t="shared" si="0"/>
        <v>191097.67181730253</v>
      </c>
      <c r="X75" s="46">
        <f t="shared" si="0"/>
        <v>190594.50203293207</v>
      </c>
      <c r="Y75" s="46"/>
      <c r="Z75" s="46">
        <f t="shared" si="0"/>
        <v>104258</v>
      </c>
      <c r="AA75" s="47">
        <f>AVERAGE(AA2:AA73)</f>
        <v>1.1556207227743672E-2</v>
      </c>
      <c r="AB75" s="46">
        <f t="shared" si="0"/>
        <v>106002.43041292788</v>
      </c>
      <c r="AC75" s="46">
        <f t="shared" si="0"/>
        <v>107825.72259626408</v>
      </c>
      <c r="AD75" s="46">
        <f t="shared" si="0"/>
        <v>109730.77955563582</v>
      </c>
      <c r="AE75" s="46"/>
      <c r="AF75" s="46">
        <f t="shared" si="0"/>
        <v>193474</v>
      </c>
      <c r="AG75" s="47">
        <f>AVERAGE(AG2:AG73)</f>
        <v>1.944831420054623E-2</v>
      </c>
      <c r="AH75" s="46">
        <f t="shared" si="0"/>
        <v>197236.74314163654</v>
      </c>
      <c r="AI75" s="46">
        <f t="shared" si="0"/>
        <v>201072.66529414747</v>
      </c>
      <c r="AJ75" s="46">
        <f t="shared" si="0"/>
        <v>204983.18966592936</v>
      </c>
      <c r="AK75" s="46"/>
      <c r="AL75" s="46">
        <f t="shared" si="0"/>
        <v>21295</v>
      </c>
      <c r="AM75" s="47">
        <f>AVERAGE(AM2:AM73)</f>
        <v>0</v>
      </c>
      <c r="AN75" s="46">
        <f t="shared" si="0"/>
        <v>21295</v>
      </c>
      <c r="AO75" s="46">
        <f t="shared" si="0"/>
        <v>21295</v>
      </c>
      <c r="AP75" s="46">
        <f t="shared" si="0"/>
        <v>21295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BEEC"/>
  </sheetPr>
  <dimension ref="A1:R76"/>
  <sheetViews>
    <sheetView workbookViewId="0">
      <pane ySplit="2" topLeftCell="A3" activePane="bottomLeft" state="frozen"/>
      <selection pane="bottomLeft" activeCell="H12" sqref="H12"/>
    </sheetView>
  </sheetViews>
  <sheetFormatPr defaultRowHeight="14.5" x14ac:dyDescent="0.35"/>
  <cols>
    <col min="1" max="1" width="53.36328125" bestFit="1" customWidth="1"/>
    <col min="2" max="2" width="12.6328125" style="3" bestFit="1" customWidth="1"/>
    <col min="3" max="3" width="12.6328125" style="3" customWidth="1"/>
    <col min="4" max="4" width="13.453125" customWidth="1"/>
    <col min="5" max="5" width="10.36328125" style="3" customWidth="1"/>
    <col min="6" max="6" width="12" style="3" bestFit="1" customWidth="1"/>
    <col min="7" max="7" width="12" style="3" customWidth="1"/>
    <col min="8" max="8" width="12.36328125" style="3" bestFit="1" customWidth="1"/>
    <col min="9" max="9" width="8.453125" bestFit="1" customWidth="1"/>
  </cols>
  <sheetData>
    <row r="1" spans="1:18" x14ac:dyDescent="0.35">
      <c r="A1" s="59"/>
      <c r="B1" s="59" t="s">
        <v>36</v>
      </c>
      <c r="C1" s="59"/>
      <c r="D1" s="59"/>
      <c r="E1" s="59"/>
      <c r="F1" s="59"/>
      <c r="G1" s="59"/>
      <c r="H1" s="59"/>
      <c r="K1" s="60"/>
      <c r="L1" s="60"/>
      <c r="M1" s="60"/>
      <c r="N1" s="60"/>
      <c r="O1" s="60"/>
      <c r="P1" s="60"/>
      <c r="Q1" s="60"/>
      <c r="R1" s="60"/>
    </row>
    <row r="2" spans="1:18" ht="72.5" x14ac:dyDescent="0.35">
      <c r="A2" s="8" t="s">
        <v>155</v>
      </c>
      <c r="B2" s="6" t="s">
        <v>541</v>
      </c>
      <c r="C2" s="6" t="s">
        <v>7</v>
      </c>
      <c r="D2" s="6" t="s">
        <v>12</v>
      </c>
      <c r="E2" s="6" t="s">
        <v>37</v>
      </c>
      <c r="F2" s="6" t="s">
        <v>249</v>
      </c>
      <c r="G2" s="22" t="s">
        <v>1</v>
      </c>
      <c r="H2" s="6" t="s">
        <v>17</v>
      </c>
      <c r="I2" s="4"/>
      <c r="K2" s="6"/>
      <c r="L2" s="6"/>
      <c r="M2" s="6"/>
      <c r="N2" s="6"/>
      <c r="O2" s="6"/>
      <c r="P2" s="22"/>
      <c r="Q2" s="6"/>
      <c r="R2" s="4"/>
    </row>
    <row r="3" spans="1:18" ht="15.5" x14ac:dyDescent="0.35">
      <c r="A3" s="9" t="s">
        <v>157</v>
      </c>
      <c r="B3" s="182">
        <v>575</v>
      </c>
      <c r="C3" s="182">
        <v>142</v>
      </c>
      <c r="D3" s="182">
        <v>391</v>
      </c>
      <c r="E3" s="182">
        <v>877</v>
      </c>
      <c r="F3" s="182">
        <v>297</v>
      </c>
      <c r="G3" s="182">
        <v>92</v>
      </c>
      <c r="H3" s="182">
        <v>418</v>
      </c>
    </row>
    <row r="4" spans="1:18" ht="15.5" x14ac:dyDescent="0.35">
      <c r="A4" s="9" t="s">
        <v>158</v>
      </c>
      <c r="B4" s="182">
        <v>869</v>
      </c>
      <c r="C4" s="182">
        <v>306</v>
      </c>
      <c r="D4" s="182">
        <v>622</v>
      </c>
      <c r="E4" s="182">
        <v>1421</v>
      </c>
      <c r="F4" s="182">
        <v>519</v>
      </c>
      <c r="G4" s="182">
        <v>122</v>
      </c>
      <c r="H4" s="182">
        <v>547</v>
      </c>
    </row>
    <row r="5" spans="1:18" ht="15.5" x14ac:dyDescent="0.35">
      <c r="A5" s="9" t="s">
        <v>159</v>
      </c>
      <c r="B5" s="182">
        <v>212</v>
      </c>
      <c r="C5" s="182">
        <v>62</v>
      </c>
      <c r="D5" s="182">
        <v>15</v>
      </c>
      <c r="E5" s="182">
        <v>312</v>
      </c>
      <c r="F5" s="182">
        <v>191</v>
      </c>
      <c r="G5" s="182">
        <v>20</v>
      </c>
      <c r="H5" s="182">
        <v>145</v>
      </c>
    </row>
    <row r="6" spans="1:18" ht="15.5" x14ac:dyDescent="0.35">
      <c r="A6" s="9" t="s">
        <v>160</v>
      </c>
      <c r="B6" s="182">
        <v>779</v>
      </c>
      <c r="C6" s="182">
        <v>197</v>
      </c>
      <c r="D6" s="182">
        <v>258</v>
      </c>
      <c r="E6" s="182">
        <v>1279</v>
      </c>
      <c r="F6" s="182">
        <v>404</v>
      </c>
      <c r="G6" s="182">
        <v>107</v>
      </c>
      <c r="H6" s="182">
        <v>601</v>
      </c>
    </row>
    <row r="7" spans="1:18" ht="15.5" x14ac:dyDescent="0.35">
      <c r="A7" s="9" t="s">
        <v>161</v>
      </c>
      <c r="B7" s="182">
        <v>577</v>
      </c>
      <c r="C7" s="182">
        <v>108</v>
      </c>
      <c r="D7" s="182">
        <v>120</v>
      </c>
      <c r="E7" s="182">
        <v>595</v>
      </c>
      <c r="F7" s="182">
        <v>369</v>
      </c>
      <c r="G7" s="182">
        <v>35</v>
      </c>
      <c r="H7" s="182">
        <v>356</v>
      </c>
    </row>
    <row r="8" spans="1:18" ht="15.5" x14ac:dyDescent="0.35">
      <c r="A8" s="9" t="s">
        <v>162</v>
      </c>
      <c r="B8" s="182">
        <v>743</v>
      </c>
      <c r="C8" s="182">
        <v>474</v>
      </c>
      <c r="D8" s="182">
        <v>845</v>
      </c>
      <c r="E8" s="182">
        <v>2095</v>
      </c>
      <c r="F8" s="182">
        <v>902</v>
      </c>
      <c r="G8" s="182">
        <v>70</v>
      </c>
      <c r="H8" s="182">
        <v>867</v>
      </c>
    </row>
    <row r="9" spans="1:18" ht="15.5" x14ac:dyDescent="0.35">
      <c r="A9" s="9" t="s">
        <v>163</v>
      </c>
      <c r="B9" s="182">
        <v>612</v>
      </c>
      <c r="C9" s="182">
        <v>225</v>
      </c>
      <c r="D9" s="182">
        <v>149</v>
      </c>
      <c r="E9" s="182">
        <v>838</v>
      </c>
      <c r="F9" s="182">
        <v>705</v>
      </c>
      <c r="G9" s="182">
        <v>128</v>
      </c>
      <c r="H9" s="182">
        <v>597</v>
      </c>
    </row>
    <row r="10" spans="1:18" ht="15.5" x14ac:dyDescent="0.35">
      <c r="A10" s="9" t="s">
        <v>164</v>
      </c>
      <c r="B10" s="182">
        <v>1052</v>
      </c>
      <c r="C10" s="182">
        <v>426</v>
      </c>
      <c r="D10" s="182">
        <v>712</v>
      </c>
      <c r="E10" s="182">
        <v>1285</v>
      </c>
      <c r="F10" s="182">
        <v>723</v>
      </c>
      <c r="G10" s="182">
        <v>97</v>
      </c>
      <c r="H10" s="182">
        <v>893</v>
      </c>
    </row>
    <row r="11" spans="1:18" ht="15.5" x14ac:dyDescent="0.35">
      <c r="A11" s="9" t="s">
        <v>165</v>
      </c>
      <c r="B11" s="182">
        <v>1267</v>
      </c>
      <c r="C11" s="182">
        <v>464</v>
      </c>
      <c r="D11" s="182">
        <v>837</v>
      </c>
      <c r="E11" s="182">
        <v>946</v>
      </c>
      <c r="F11" s="182">
        <v>565</v>
      </c>
      <c r="G11" s="182">
        <v>70</v>
      </c>
      <c r="H11" s="182">
        <v>394</v>
      </c>
    </row>
    <row r="12" spans="1:18" ht="15.5" x14ac:dyDescent="0.35">
      <c r="A12" s="9" t="s">
        <v>166</v>
      </c>
      <c r="B12" s="182">
        <v>1663</v>
      </c>
      <c r="C12" s="182">
        <v>822</v>
      </c>
      <c r="D12" s="182">
        <v>1996</v>
      </c>
      <c r="E12" s="182">
        <v>2287</v>
      </c>
      <c r="F12" s="182">
        <v>1523</v>
      </c>
      <c r="G12" s="182">
        <v>329</v>
      </c>
      <c r="H12" s="182">
        <v>773</v>
      </c>
    </row>
    <row r="13" spans="1:18" ht="15.5" x14ac:dyDescent="0.35">
      <c r="A13" s="9" t="s">
        <v>167</v>
      </c>
      <c r="B13" s="182">
        <v>378</v>
      </c>
      <c r="C13" s="182">
        <v>0</v>
      </c>
      <c r="D13" s="182">
        <v>106</v>
      </c>
      <c r="E13" s="182">
        <v>330</v>
      </c>
      <c r="F13" s="182">
        <v>225</v>
      </c>
      <c r="G13" s="182">
        <v>19</v>
      </c>
      <c r="H13" s="182">
        <v>238</v>
      </c>
    </row>
    <row r="14" spans="1:18" ht="15.5" x14ac:dyDescent="0.35">
      <c r="A14" s="9" t="s">
        <v>168</v>
      </c>
      <c r="B14" s="182">
        <v>1091</v>
      </c>
      <c r="C14" s="182">
        <v>484</v>
      </c>
      <c r="D14" s="182">
        <v>653</v>
      </c>
      <c r="E14" s="182">
        <v>1647</v>
      </c>
      <c r="F14" s="182">
        <v>1077</v>
      </c>
      <c r="G14" s="182">
        <v>166</v>
      </c>
      <c r="H14" s="182">
        <v>726</v>
      </c>
    </row>
    <row r="15" spans="1:18" ht="15.5" x14ac:dyDescent="0.35">
      <c r="A15" s="9" t="s">
        <v>169</v>
      </c>
      <c r="B15" s="182">
        <v>111</v>
      </c>
      <c r="C15" s="182">
        <v>48</v>
      </c>
      <c r="D15" s="182">
        <v>44</v>
      </c>
      <c r="E15" s="182">
        <v>170</v>
      </c>
      <c r="F15" s="182">
        <v>76</v>
      </c>
      <c r="G15" s="182">
        <v>17</v>
      </c>
      <c r="H15" s="182">
        <v>67</v>
      </c>
    </row>
    <row r="16" spans="1:18" ht="15.5" x14ac:dyDescent="0.35">
      <c r="A16" s="9" t="s">
        <v>170</v>
      </c>
      <c r="B16" s="182">
        <v>273</v>
      </c>
      <c r="C16" s="182">
        <v>330</v>
      </c>
      <c r="D16" s="182">
        <v>144</v>
      </c>
      <c r="E16" s="182">
        <v>1035</v>
      </c>
      <c r="F16" s="182">
        <v>397</v>
      </c>
      <c r="G16" s="182">
        <v>41</v>
      </c>
      <c r="H16" s="182">
        <v>532</v>
      </c>
    </row>
    <row r="17" spans="1:8" ht="15.5" x14ac:dyDescent="0.35">
      <c r="A17" s="9" t="s">
        <v>171</v>
      </c>
      <c r="B17" s="182">
        <v>1292</v>
      </c>
      <c r="C17" s="182">
        <v>218</v>
      </c>
      <c r="D17" s="182">
        <v>277</v>
      </c>
      <c r="E17" s="182">
        <v>1255</v>
      </c>
      <c r="F17" s="182">
        <v>962</v>
      </c>
      <c r="G17" s="182">
        <v>151</v>
      </c>
      <c r="H17" s="182">
        <v>645</v>
      </c>
    </row>
    <row r="18" spans="1:8" ht="15.5" x14ac:dyDescent="0.35">
      <c r="A18" s="9" t="s">
        <v>172</v>
      </c>
      <c r="B18" s="182">
        <v>60</v>
      </c>
      <c r="C18" s="182">
        <v>13</v>
      </c>
      <c r="D18" s="182">
        <v>0</v>
      </c>
      <c r="E18" s="182">
        <v>138</v>
      </c>
      <c r="F18" s="182">
        <v>43</v>
      </c>
      <c r="G18" s="182">
        <v>23</v>
      </c>
      <c r="H18" s="182">
        <v>37</v>
      </c>
    </row>
    <row r="19" spans="1:8" ht="15.5" x14ac:dyDescent="0.35">
      <c r="A19" s="9" t="s">
        <v>173</v>
      </c>
      <c r="B19" s="182">
        <v>828</v>
      </c>
      <c r="C19" s="182">
        <v>392</v>
      </c>
      <c r="D19" s="182">
        <v>111</v>
      </c>
      <c r="E19" s="182">
        <v>1204</v>
      </c>
      <c r="F19" s="182">
        <v>1271</v>
      </c>
      <c r="G19" s="182">
        <v>178</v>
      </c>
      <c r="H19" s="182">
        <v>559</v>
      </c>
    </row>
    <row r="20" spans="1:8" ht="15.5" x14ac:dyDescent="0.35">
      <c r="A20" s="9" t="s">
        <v>174</v>
      </c>
      <c r="B20" s="182">
        <v>205</v>
      </c>
      <c r="C20" s="182">
        <v>79</v>
      </c>
      <c r="D20" s="182">
        <v>257</v>
      </c>
      <c r="E20" s="182">
        <v>317</v>
      </c>
      <c r="F20" s="182">
        <v>169</v>
      </c>
      <c r="G20" s="182">
        <v>24</v>
      </c>
      <c r="H20" s="182">
        <v>209</v>
      </c>
    </row>
    <row r="21" spans="1:8" ht="15.5" x14ac:dyDescent="0.35">
      <c r="A21" s="9" t="s">
        <v>175</v>
      </c>
      <c r="B21" s="182">
        <v>225</v>
      </c>
      <c r="C21" s="182">
        <v>316</v>
      </c>
      <c r="D21" s="182">
        <v>140</v>
      </c>
      <c r="E21" s="182">
        <v>1232</v>
      </c>
      <c r="F21" s="182">
        <v>847</v>
      </c>
      <c r="G21" s="182">
        <v>126</v>
      </c>
      <c r="H21" s="182">
        <v>490</v>
      </c>
    </row>
    <row r="22" spans="1:8" ht="15.5" x14ac:dyDescent="0.35">
      <c r="A22" s="9" t="s">
        <v>176</v>
      </c>
      <c r="B22" s="182">
        <v>1060</v>
      </c>
      <c r="C22" s="182">
        <v>442</v>
      </c>
      <c r="D22" s="182">
        <v>718</v>
      </c>
      <c r="E22" s="182">
        <v>1120</v>
      </c>
      <c r="F22" s="182">
        <v>882</v>
      </c>
      <c r="G22" s="182">
        <v>214</v>
      </c>
      <c r="H22" s="182">
        <v>412</v>
      </c>
    </row>
    <row r="23" spans="1:8" ht="15.5" x14ac:dyDescent="0.35">
      <c r="A23" s="9" t="s">
        <v>177</v>
      </c>
      <c r="B23" s="182">
        <v>339</v>
      </c>
      <c r="C23" s="182">
        <v>261</v>
      </c>
      <c r="D23" s="182">
        <v>426</v>
      </c>
      <c r="E23" s="182">
        <v>522</v>
      </c>
      <c r="F23" s="182">
        <v>333</v>
      </c>
      <c r="G23" s="182">
        <v>92</v>
      </c>
      <c r="H23" s="182">
        <v>386</v>
      </c>
    </row>
    <row r="24" spans="1:8" ht="15.5" x14ac:dyDescent="0.35">
      <c r="A24" s="9" t="s">
        <v>178</v>
      </c>
      <c r="B24" s="182">
        <v>700</v>
      </c>
      <c r="C24" s="182">
        <v>265</v>
      </c>
      <c r="D24" s="182">
        <v>408</v>
      </c>
      <c r="E24" s="182">
        <v>992</v>
      </c>
      <c r="F24" s="182">
        <v>361</v>
      </c>
      <c r="G24" s="182">
        <v>69</v>
      </c>
      <c r="H24" s="182">
        <v>436</v>
      </c>
    </row>
    <row r="25" spans="1:8" ht="15.5" x14ac:dyDescent="0.35">
      <c r="A25" s="9" t="s">
        <v>179</v>
      </c>
      <c r="B25" s="182">
        <v>877</v>
      </c>
      <c r="C25" s="182">
        <v>505</v>
      </c>
      <c r="D25" s="182">
        <v>372</v>
      </c>
      <c r="E25" s="182">
        <v>2559</v>
      </c>
      <c r="F25" s="182">
        <v>1488</v>
      </c>
      <c r="G25" s="182">
        <v>135</v>
      </c>
      <c r="H25" s="182">
        <v>1463</v>
      </c>
    </row>
    <row r="26" spans="1:8" ht="15.5" x14ac:dyDescent="0.35">
      <c r="A26" s="9" t="s">
        <v>180</v>
      </c>
      <c r="B26" s="182">
        <v>51</v>
      </c>
      <c r="C26" s="182">
        <v>28</v>
      </c>
      <c r="D26" s="182">
        <v>11</v>
      </c>
      <c r="E26" s="182">
        <v>80</v>
      </c>
      <c r="F26" s="182">
        <v>61</v>
      </c>
      <c r="G26" s="182">
        <v>5</v>
      </c>
      <c r="H26" s="182">
        <v>59</v>
      </c>
    </row>
    <row r="27" spans="1:8" ht="15.5" x14ac:dyDescent="0.35">
      <c r="A27" s="9" t="s">
        <v>181</v>
      </c>
      <c r="B27" s="182">
        <v>94</v>
      </c>
      <c r="C27" s="182">
        <v>30</v>
      </c>
      <c r="D27" s="182">
        <v>80</v>
      </c>
      <c r="E27" s="182">
        <v>107</v>
      </c>
      <c r="F27" s="182">
        <v>40</v>
      </c>
      <c r="G27" s="182">
        <v>7</v>
      </c>
      <c r="H27" s="182">
        <v>38</v>
      </c>
    </row>
    <row r="28" spans="1:8" ht="15.5" x14ac:dyDescent="0.35">
      <c r="A28" s="9" t="s">
        <v>182</v>
      </c>
      <c r="B28" s="182">
        <v>490</v>
      </c>
      <c r="C28" s="182">
        <v>513</v>
      </c>
      <c r="D28" s="182">
        <v>141</v>
      </c>
      <c r="E28" s="182">
        <v>1866</v>
      </c>
      <c r="F28" s="182">
        <v>1005</v>
      </c>
      <c r="G28" s="182">
        <v>140</v>
      </c>
      <c r="H28" s="182">
        <v>916</v>
      </c>
    </row>
    <row r="29" spans="1:8" ht="15.5" x14ac:dyDescent="0.35">
      <c r="A29" s="9" t="s">
        <v>183</v>
      </c>
      <c r="B29" s="182">
        <v>5908</v>
      </c>
      <c r="C29" s="182">
        <v>1729</v>
      </c>
      <c r="D29" s="182">
        <v>4898</v>
      </c>
      <c r="E29" s="182">
        <v>10447</v>
      </c>
      <c r="F29" s="182">
        <v>5042</v>
      </c>
      <c r="G29" s="182">
        <v>274</v>
      </c>
      <c r="H29" s="182">
        <v>4755</v>
      </c>
    </row>
    <row r="30" spans="1:8" ht="15.5" x14ac:dyDescent="0.35">
      <c r="A30" s="9" t="s">
        <v>184</v>
      </c>
      <c r="B30" s="182">
        <v>2645</v>
      </c>
      <c r="C30" s="182">
        <v>906</v>
      </c>
      <c r="D30" s="182">
        <v>1157</v>
      </c>
      <c r="E30" s="182">
        <v>4207</v>
      </c>
      <c r="F30" s="182">
        <v>1924</v>
      </c>
      <c r="G30" s="182">
        <v>193</v>
      </c>
      <c r="H30" s="182">
        <v>2639</v>
      </c>
    </row>
    <row r="31" spans="1:8" ht="15.5" x14ac:dyDescent="0.35">
      <c r="A31" s="9" t="s">
        <v>185</v>
      </c>
      <c r="B31" s="182">
        <v>99</v>
      </c>
      <c r="C31" s="182">
        <v>50</v>
      </c>
      <c r="D31" s="182">
        <v>28</v>
      </c>
      <c r="E31" s="182">
        <v>152</v>
      </c>
      <c r="F31" s="182">
        <v>139</v>
      </c>
      <c r="G31" s="182">
        <v>15</v>
      </c>
      <c r="H31" s="182">
        <v>84</v>
      </c>
    </row>
    <row r="32" spans="1:8" ht="15.5" x14ac:dyDescent="0.35">
      <c r="A32" s="9" t="s">
        <v>186</v>
      </c>
      <c r="B32" s="182">
        <v>174</v>
      </c>
      <c r="C32" s="182">
        <v>65</v>
      </c>
      <c r="D32" s="182">
        <v>45</v>
      </c>
      <c r="E32" s="182">
        <v>357</v>
      </c>
      <c r="F32" s="182">
        <v>94</v>
      </c>
      <c r="G32" s="182">
        <v>12</v>
      </c>
      <c r="H32" s="182">
        <v>201</v>
      </c>
    </row>
    <row r="33" spans="1:8" ht="15.5" x14ac:dyDescent="0.35">
      <c r="A33" s="9" t="s">
        <v>187</v>
      </c>
      <c r="B33" s="182">
        <v>484</v>
      </c>
      <c r="C33" s="182">
        <v>317</v>
      </c>
      <c r="D33" s="182">
        <v>353</v>
      </c>
      <c r="E33" s="182">
        <v>928</v>
      </c>
      <c r="F33" s="182">
        <v>474</v>
      </c>
      <c r="G33" s="182">
        <v>84</v>
      </c>
      <c r="H33" s="182">
        <v>645</v>
      </c>
    </row>
    <row r="34" spans="1:8" ht="15.5" x14ac:dyDescent="0.35">
      <c r="A34" s="9" t="s">
        <v>188</v>
      </c>
      <c r="B34" s="182">
        <v>453</v>
      </c>
      <c r="C34" s="182">
        <v>121</v>
      </c>
      <c r="D34" s="182">
        <v>467</v>
      </c>
      <c r="E34" s="182">
        <v>825</v>
      </c>
      <c r="F34" s="182">
        <v>521</v>
      </c>
      <c r="G34" s="182">
        <v>83</v>
      </c>
      <c r="H34" s="182">
        <v>275</v>
      </c>
    </row>
    <row r="35" spans="1:8" ht="15.5" x14ac:dyDescent="0.35">
      <c r="A35" s="9" t="s">
        <v>189</v>
      </c>
      <c r="B35" s="182">
        <v>173</v>
      </c>
      <c r="C35" s="182">
        <v>134</v>
      </c>
      <c r="D35" s="182">
        <v>33</v>
      </c>
      <c r="E35" s="182">
        <v>267</v>
      </c>
      <c r="F35" s="182">
        <v>218</v>
      </c>
      <c r="G35" s="182">
        <v>22</v>
      </c>
      <c r="H35" s="182">
        <v>190</v>
      </c>
    </row>
    <row r="36" spans="1:8" ht="15.5" x14ac:dyDescent="0.35">
      <c r="A36" s="9" t="s">
        <v>190</v>
      </c>
      <c r="B36" s="182">
        <v>1012</v>
      </c>
      <c r="C36" s="182">
        <v>313</v>
      </c>
      <c r="D36" s="182">
        <v>338</v>
      </c>
      <c r="E36" s="182">
        <v>2665</v>
      </c>
      <c r="F36" s="182">
        <v>1113</v>
      </c>
      <c r="G36" s="182">
        <v>111</v>
      </c>
      <c r="H36" s="182">
        <v>931</v>
      </c>
    </row>
    <row r="37" spans="1:8" ht="15.5" x14ac:dyDescent="0.35">
      <c r="A37" s="9" t="s">
        <v>191</v>
      </c>
      <c r="B37" s="182">
        <v>1064</v>
      </c>
      <c r="C37" s="182">
        <v>205</v>
      </c>
      <c r="D37" s="182">
        <v>82</v>
      </c>
      <c r="E37" s="182">
        <v>795</v>
      </c>
      <c r="F37" s="182">
        <v>609</v>
      </c>
      <c r="G37" s="182">
        <v>155</v>
      </c>
      <c r="H37" s="182">
        <v>637</v>
      </c>
    </row>
    <row r="38" spans="1:8" ht="15.5" x14ac:dyDescent="0.35">
      <c r="A38" s="9" t="s">
        <v>192</v>
      </c>
      <c r="B38" s="182">
        <v>246</v>
      </c>
      <c r="C38" s="182">
        <v>109</v>
      </c>
      <c r="D38" s="182">
        <v>178</v>
      </c>
      <c r="E38" s="182">
        <v>308</v>
      </c>
      <c r="F38" s="182">
        <v>205</v>
      </c>
      <c r="G38" s="182">
        <v>44</v>
      </c>
      <c r="H38" s="182">
        <v>224</v>
      </c>
    </row>
    <row r="39" spans="1:8" ht="15.5" x14ac:dyDescent="0.35">
      <c r="A39" s="9" t="s">
        <v>193</v>
      </c>
      <c r="B39" s="182">
        <v>1016</v>
      </c>
      <c r="C39" s="182">
        <v>684</v>
      </c>
      <c r="D39" s="182">
        <v>388</v>
      </c>
      <c r="E39" s="182">
        <v>2126</v>
      </c>
      <c r="F39" s="182">
        <v>1244</v>
      </c>
      <c r="G39" s="182">
        <v>235</v>
      </c>
      <c r="H39" s="182">
        <v>657</v>
      </c>
    </row>
    <row r="40" spans="1:8" ht="15.5" x14ac:dyDescent="0.35">
      <c r="A40" s="9" t="s">
        <v>194</v>
      </c>
      <c r="B40" s="182">
        <v>283</v>
      </c>
      <c r="C40" s="182">
        <v>104</v>
      </c>
      <c r="D40" s="182">
        <v>9</v>
      </c>
      <c r="E40" s="182">
        <v>281</v>
      </c>
      <c r="F40" s="182">
        <v>329</v>
      </c>
      <c r="G40" s="182">
        <v>50</v>
      </c>
      <c r="H40" s="182">
        <v>149</v>
      </c>
    </row>
    <row r="41" spans="1:8" ht="15.5" x14ac:dyDescent="0.35">
      <c r="A41" s="9" t="s">
        <v>195</v>
      </c>
      <c r="B41" s="182">
        <v>36</v>
      </c>
      <c r="C41" s="182">
        <v>4</v>
      </c>
      <c r="D41" s="182">
        <v>25</v>
      </c>
      <c r="E41" s="182">
        <v>97</v>
      </c>
      <c r="F41" s="182">
        <v>20</v>
      </c>
      <c r="G41" s="182">
        <v>3</v>
      </c>
      <c r="H41" s="182">
        <v>43</v>
      </c>
    </row>
    <row r="42" spans="1:8" ht="15.5" x14ac:dyDescent="0.35">
      <c r="A42" s="9" t="s">
        <v>196</v>
      </c>
      <c r="B42" s="182">
        <v>692</v>
      </c>
      <c r="C42" s="182">
        <v>133</v>
      </c>
      <c r="D42" s="182">
        <v>588</v>
      </c>
      <c r="E42" s="182">
        <v>909</v>
      </c>
      <c r="F42" s="182">
        <v>609</v>
      </c>
      <c r="G42" s="182">
        <v>54</v>
      </c>
      <c r="H42" s="182">
        <v>407</v>
      </c>
    </row>
    <row r="43" spans="1:8" ht="15.5" x14ac:dyDescent="0.35">
      <c r="A43" s="9" t="s">
        <v>197</v>
      </c>
      <c r="B43" s="182">
        <v>1755</v>
      </c>
      <c r="C43" s="182">
        <v>648</v>
      </c>
      <c r="D43" s="182">
        <v>212</v>
      </c>
      <c r="E43" s="182">
        <v>1502</v>
      </c>
      <c r="F43" s="182">
        <v>1432</v>
      </c>
      <c r="G43" s="182">
        <v>273</v>
      </c>
      <c r="H43" s="182">
        <v>595</v>
      </c>
    </row>
    <row r="44" spans="1:8" ht="15.5" x14ac:dyDescent="0.35">
      <c r="A44" s="9" t="s">
        <v>198</v>
      </c>
      <c r="B44" s="182">
        <v>806</v>
      </c>
      <c r="C44" s="182">
        <v>302</v>
      </c>
      <c r="D44" s="182">
        <v>682</v>
      </c>
      <c r="E44" s="182">
        <v>1368</v>
      </c>
      <c r="F44" s="182">
        <v>889</v>
      </c>
      <c r="G44" s="182">
        <v>77</v>
      </c>
      <c r="H44" s="182">
        <v>646</v>
      </c>
    </row>
    <row r="45" spans="1:8" ht="15.5" x14ac:dyDescent="0.35">
      <c r="A45" s="9" t="s">
        <v>199</v>
      </c>
      <c r="B45" s="182">
        <v>1348</v>
      </c>
      <c r="C45" s="182">
        <v>496</v>
      </c>
      <c r="D45" s="182">
        <v>1123</v>
      </c>
      <c r="E45" s="182">
        <v>1085</v>
      </c>
      <c r="F45" s="182">
        <v>735</v>
      </c>
      <c r="G45" s="182">
        <v>255</v>
      </c>
      <c r="H45" s="182">
        <v>451</v>
      </c>
    </row>
    <row r="46" spans="1:8" ht="15.5" x14ac:dyDescent="0.35">
      <c r="A46" s="9" t="s">
        <v>200</v>
      </c>
      <c r="B46" s="182">
        <v>293</v>
      </c>
      <c r="C46" s="182">
        <v>39</v>
      </c>
      <c r="D46" s="182">
        <v>94</v>
      </c>
      <c r="E46" s="182">
        <v>432</v>
      </c>
      <c r="F46" s="182">
        <v>183</v>
      </c>
      <c r="G46" s="182">
        <v>31</v>
      </c>
      <c r="H46" s="182">
        <v>269</v>
      </c>
    </row>
    <row r="47" spans="1:8" ht="15.5" x14ac:dyDescent="0.35">
      <c r="A47" s="9" t="s">
        <v>201</v>
      </c>
      <c r="B47" s="182">
        <v>614</v>
      </c>
      <c r="C47" s="182">
        <v>369</v>
      </c>
      <c r="D47" s="182">
        <v>90</v>
      </c>
      <c r="E47" s="182">
        <v>1069</v>
      </c>
      <c r="F47" s="182">
        <v>548</v>
      </c>
      <c r="G47" s="182">
        <v>54</v>
      </c>
      <c r="H47" s="182">
        <v>646</v>
      </c>
    </row>
    <row r="48" spans="1:8" ht="15.5" x14ac:dyDescent="0.35">
      <c r="A48" s="9" t="s">
        <v>202</v>
      </c>
      <c r="B48" s="182">
        <v>2205</v>
      </c>
      <c r="C48" s="182">
        <v>351</v>
      </c>
      <c r="D48" s="182">
        <v>472</v>
      </c>
      <c r="E48" s="182">
        <v>2389</v>
      </c>
      <c r="F48" s="182">
        <v>1283</v>
      </c>
      <c r="G48" s="182">
        <v>149</v>
      </c>
      <c r="H48" s="182">
        <v>1253</v>
      </c>
    </row>
    <row r="49" spans="1:8" ht="15.5" x14ac:dyDescent="0.35">
      <c r="A49" s="9" t="s">
        <v>203</v>
      </c>
      <c r="B49" s="182">
        <v>929</v>
      </c>
      <c r="C49" s="182">
        <v>330</v>
      </c>
      <c r="D49" s="182">
        <v>319</v>
      </c>
      <c r="E49" s="182">
        <v>1160</v>
      </c>
      <c r="F49" s="182">
        <v>706</v>
      </c>
      <c r="G49" s="182">
        <v>59</v>
      </c>
      <c r="H49" s="182">
        <v>743</v>
      </c>
    </row>
    <row r="50" spans="1:8" ht="15.5" x14ac:dyDescent="0.35">
      <c r="A50" s="9" t="s">
        <v>204</v>
      </c>
      <c r="B50" s="182">
        <v>1119</v>
      </c>
      <c r="C50" s="182">
        <v>715</v>
      </c>
      <c r="D50" s="182">
        <v>555</v>
      </c>
      <c r="E50" s="182">
        <v>2571</v>
      </c>
      <c r="F50" s="182">
        <v>1702</v>
      </c>
      <c r="G50" s="182">
        <v>270</v>
      </c>
      <c r="H50" s="182">
        <v>948</v>
      </c>
    </row>
    <row r="51" spans="1:8" ht="15.5" x14ac:dyDescent="0.35">
      <c r="A51" s="9" t="s">
        <v>205</v>
      </c>
      <c r="B51" s="182">
        <v>586</v>
      </c>
      <c r="C51" s="182">
        <v>150</v>
      </c>
      <c r="D51" s="182">
        <v>339</v>
      </c>
      <c r="E51" s="182">
        <v>1169</v>
      </c>
      <c r="F51" s="182">
        <v>696</v>
      </c>
      <c r="G51" s="182">
        <v>80</v>
      </c>
      <c r="H51" s="182">
        <v>607</v>
      </c>
    </row>
    <row r="52" spans="1:8" ht="15.5" x14ac:dyDescent="0.35">
      <c r="A52" s="9" t="s">
        <v>206</v>
      </c>
      <c r="B52" s="182">
        <v>1575</v>
      </c>
      <c r="C52" s="182">
        <v>122</v>
      </c>
      <c r="D52" s="182">
        <v>570</v>
      </c>
      <c r="E52" s="182">
        <v>2071</v>
      </c>
      <c r="F52" s="182">
        <v>623</v>
      </c>
      <c r="G52" s="182">
        <v>78</v>
      </c>
      <c r="H52" s="182">
        <v>1133</v>
      </c>
    </row>
    <row r="53" spans="1:8" ht="15.5" x14ac:dyDescent="0.35">
      <c r="A53" s="9" t="s">
        <v>207</v>
      </c>
      <c r="B53" s="182">
        <v>420</v>
      </c>
      <c r="C53" s="182">
        <v>257</v>
      </c>
      <c r="D53" s="182">
        <v>296</v>
      </c>
      <c r="E53" s="182">
        <v>827</v>
      </c>
      <c r="F53" s="182">
        <v>597</v>
      </c>
      <c r="G53" s="182">
        <v>73</v>
      </c>
      <c r="H53" s="182">
        <v>479</v>
      </c>
    </row>
    <row r="54" spans="1:8" ht="15.5" x14ac:dyDescent="0.35">
      <c r="A54" s="9" t="s">
        <v>208</v>
      </c>
      <c r="B54" s="182">
        <v>299</v>
      </c>
      <c r="C54" s="182">
        <v>165</v>
      </c>
      <c r="D54" s="182">
        <v>157</v>
      </c>
      <c r="E54" s="182">
        <v>545</v>
      </c>
      <c r="F54" s="182">
        <v>272</v>
      </c>
      <c r="G54" s="182">
        <v>37</v>
      </c>
      <c r="H54" s="182">
        <v>240</v>
      </c>
    </row>
    <row r="55" spans="1:8" ht="15.5" x14ac:dyDescent="0.35">
      <c r="A55" s="9" t="s">
        <v>209</v>
      </c>
      <c r="B55" s="182">
        <v>612</v>
      </c>
      <c r="C55" s="182">
        <v>393</v>
      </c>
      <c r="D55" s="182">
        <v>454</v>
      </c>
      <c r="E55" s="182">
        <v>840</v>
      </c>
      <c r="F55" s="182">
        <v>738</v>
      </c>
      <c r="G55" s="182">
        <v>79</v>
      </c>
      <c r="H55" s="182">
        <v>343</v>
      </c>
    </row>
    <row r="56" spans="1:8" ht="15.5" x14ac:dyDescent="0.35">
      <c r="A56" s="9" t="s">
        <v>210</v>
      </c>
      <c r="B56" s="182">
        <v>870</v>
      </c>
      <c r="C56" s="182">
        <v>0</v>
      </c>
      <c r="D56" s="182">
        <v>658</v>
      </c>
      <c r="E56" s="182">
        <v>1164</v>
      </c>
      <c r="F56" s="182">
        <v>517</v>
      </c>
      <c r="G56" s="182">
        <v>69</v>
      </c>
      <c r="H56" s="182">
        <v>403</v>
      </c>
    </row>
    <row r="57" spans="1:8" ht="15.5" x14ac:dyDescent="0.35">
      <c r="A57" s="9" t="s">
        <v>211</v>
      </c>
      <c r="B57" s="182">
        <v>584</v>
      </c>
      <c r="C57" s="182">
        <v>342</v>
      </c>
      <c r="D57" s="182">
        <v>654</v>
      </c>
      <c r="E57" s="182">
        <v>853</v>
      </c>
      <c r="F57" s="182">
        <v>643</v>
      </c>
      <c r="G57" s="182">
        <v>112</v>
      </c>
      <c r="H57" s="182">
        <v>399</v>
      </c>
    </row>
    <row r="58" spans="1:8" ht="15.5" x14ac:dyDescent="0.35">
      <c r="A58" s="9" t="s">
        <v>212</v>
      </c>
      <c r="B58" s="182">
        <v>872</v>
      </c>
      <c r="C58" s="182">
        <v>266</v>
      </c>
      <c r="D58" s="182">
        <v>512</v>
      </c>
      <c r="E58" s="182">
        <v>1160</v>
      </c>
      <c r="F58" s="182">
        <v>1155</v>
      </c>
      <c r="G58" s="182">
        <v>171</v>
      </c>
      <c r="H58" s="182">
        <v>544</v>
      </c>
    </row>
    <row r="59" spans="1:8" ht="15.5" x14ac:dyDescent="0.35">
      <c r="A59" s="9" t="s">
        <v>213</v>
      </c>
      <c r="B59" s="182">
        <v>620</v>
      </c>
      <c r="C59" s="182">
        <v>182</v>
      </c>
      <c r="D59" s="182">
        <v>103</v>
      </c>
      <c r="E59" s="182">
        <v>1158</v>
      </c>
      <c r="F59" s="182">
        <v>485</v>
      </c>
      <c r="G59" s="182">
        <v>78</v>
      </c>
      <c r="H59" s="182">
        <v>630</v>
      </c>
    </row>
    <row r="60" spans="1:8" ht="15.5" x14ac:dyDescent="0.35">
      <c r="A60" s="9" t="s">
        <v>214</v>
      </c>
      <c r="B60" s="182">
        <v>409</v>
      </c>
      <c r="C60" s="182">
        <v>105</v>
      </c>
      <c r="D60" s="182">
        <v>244</v>
      </c>
      <c r="E60" s="182">
        <v>1010</v>
      </c>
      <c r="F60" s="182">
        <v>262</v>
      </c>
      <c r="G60" s="182">
        <v>57</v>
      </c>
      <c r="H60" s="182">
        <v>457</v>
      </c>
    </row>
    <row r="61" spans="1:8" ht="15.5" x14ac:dyDescent="0.35">
      <c r="A61" s="9" t="s">
        <v>215</v>
      </c>
      <c r="B61" s="182">
        <v>969</v>
      </c>
      <c r="C61" s="182">
        <v>351</v>
      </c>
      <c r="D61" s="182">
        <v>102</v>
      </c>
      <c r="E61" s="182">
        <v>1143</v>
      </c>
      <c r="F61" s="182">
        <v>558</v>
      </c>
      <c r="G61" s="182">
        <v>192</v>
      </c>
      <c r="H61" s="182">
        <v>663</v>
      </c>
    </row>
    <row r="62" spans="1:8" ht="15.5" x14ac:dyDescent="0.35">
      <c r="A62" s="9" t="s">
        <v>216</v>
      </c>
      <c r="B62" s="182">
        <v>138</v>
      </c>
      <c r="C62" s="182">
        <v>12</v>
      </c>
      <c r="D62" s="182">
        <v>41</v>
      </c>
      <c r="E62" s="182">
        <v>203</v>
      </c>
      <c r="F62" s="182">
        <v>69</v>
      </c>
      <c r="G62" s="182">
        <v>31</v>
      </c>
      <c r="H62" s="182">
        <v>124</v>
      </c>
    </row>
    <row r="63" spans="1:8" ht="15.5" x14ac:dyDescent="0.35">
      <c r="A63" s="9" t="s">
        <v>217</v>
      </c>
      <c r="B63" s="182">
        <v>548</v>
      </c>
      <c r="C63" s="182">
        <v>84</v>
      </c>
      <c r="D63" s="182">
        <v>62</v>
      </c>
      <c r="E63" s="182">
        <v>482</v>
      </c>
      <c r="F63" s="182">
        <v>263</v>
      </c>
      <c r="G63" s="182">
        <v>66</v>
      </c>
      <c r="H63" s="182">
        <v>404</v>
      </c>
    </row>
    <row r="64" spans="1:8" ht="15.5" x14ac:dyDescent="0.35">
      <c r="A64" s="9" t="s">
        <v>218</v>
      </c>
      <c r="B64" s="182">
        <v>673</v>
      </c>
      <c r="C64" s="182">
        <v>249</v>
      </c>
      <c r="D64" s="182">
        <v>182</v>
      </c>
      <c r="E64" s="182">
        <v>945</v>
      </c>
      <c r="F64" s="182">
        <v>418</v>
      </c>
      <c r="G64" s="182">
        <v>35</v>
      </c>
      <c r="H64" s="182">
        <v>700</v>
      </c>
    </row>
    <row r="65" spans="1:8" ht="15.5" x14ac:dyDescent="0.35">
      <c r="A65" s="9" t="s">
        <v>219</v>
      </c>
      <c r="B65" s="182">
        <v>738</v>
      </c>
      <c r="C65" s="182">
        <v>371</v>
      </c>
      <c r="D65" s="182">
        <v>1184</v>
      </c>
      <c r="E65" s="182">
        <v>1188</v>
      </c>
      <c r="F65" s="182">
        <v>893</v>
      </c>
      <c r="G65" s="182">
        <v>157</v>
      </c>
      <c r="H65" s="182">
        <v>392</v>
      </c>
    </row>
    <row r="66" spans="1:8" ht="15.5" x14ac:dyDescent="0.35">
      <c r="A66" s="9" t="s">
        <v>220</v>
      </c>
      <c r="B66" s="182">
        <v>640</v>
      </c>
      <c r="C66" s="182">
        <v>405</v>
      </c>
      <c r="D66" s="182">
        <v>427</v>
      </c>
      <c r="E66" s="182">
        <v>1183</v>
      </c>
      <c r="F66" s="182">
        <v>600</v>
      </c>
      <c r="G66" s="182">
        <v>86</v>
      </c>
      <c r="H66" s="182">
        <v>526</v>
      </c>
    </row>
    <row r="67" spans="1:8" ht="15.5" x14ac:dyDescent="0.35">
      <c r="A67" s="9" t="s">
        <v>221</v>
      </c>
      <c r="B67" s="182">
        <v>864</v>
      </c>
      <c r="C67" s="182">
        <v>881</v>
      </c>
      <c r="D67" s="182">
        <v>476</v>
      </c>
      <c r="E67" s="182">
        <v>3439</v>
      </c>
      <c r="F67" s="182">
        <v>1376</v>
      </c>
      <c r="G67" s="182">
        <v>205</v>
      </c>
      <c r="H67" s="182">
        <v>1747</v>
      </c>
    </row>
    <row r="68" spans="1:8" ht="15.5" x14ac:dyDescent="0.35">
      <c r="A68" s="9" t="s">
        <v>222</v>
      </c>
      <c r="B68" s="182">
        <v>1750</v>
      </c>
      <c r="C68" s="182">
        <v>876</v>
      </c>
      <c r="D68" s="182">
        <v>1236</v>
      </c>
      <c r="E68" s="182">
        <v>1722</v>
      </c>
      <c r="F68" s="182">
        <v>1203</v>
      </c>
      <c r="G68" s="182">
        <v>273</v>
      </c>
      <c r="H68" s="182">
        <v>770</v>
      </c>
    </row>
    <row r="69" spans="1:8" ht="15.5" x14ac:dyDescent="0.35">
      <c r="A69" s="9" t="s">
        <v>223</v>
      </c>
      <c r="B69" s="182">
        <v>702</v>
      </c>
      <c r="C69" s="182">
        <v>82</v>
      </c>
      <c r="D69" s="182">
        <v>152</v>
      </c>
      <c r="E69" s="182">
        <v>1292</v>
      </c>
      <c r="F69" s="182">
        <v>414</v>
      </c>
      <c r="G69" s="182">
        <v>54</v>
      </c>
      <c r="H69" s="182">
        <v>568</v>
      </c>
    </row>
    <row r="70" spans="1:8" ht="15.5" x14ac:dyDescent="0.35">
      <c r="A70" s="9" t="s">
        <v>224</v>
      </c>
      <c r="B70" s="182">
        <v>524</v>
      </c>
      <c r="C70" s="182">
        <v>89</v>
      </c>
      <c r="D70" s="182">
        <v>208</v>
      </c>
      <c r="E70" s="182">
        <v>666</v>
      </c>
      <c r="F70" s="182">
        <v>272</v>
      </c>
      <c r="G70" s="182">
        <v>51</v>
      </c>
      <c r="H70" s="182">
        <v>384</v>
      </c>
    </row>
    <row r="71" spans="1:8" ht="15.5" x14ac:dyDescent="0.35">
      <c r="A71" s="9" t="s">
        <v>225</v>
      </c>
      <c r="B71" s="182">
        <v>208</v>
      </c>
      <c r="C71" s="182">
        <v>67</v>
      </c>
      <c r="D71" s="182">
        <v>35</v>
      </c>
      <c r="E71" s="182">
        <v>178</v>
      </c>
      <c r="F71" s="182">
        <v>113</v>
      </c>
      <c r="G71" s="182">
        <v>13</v>
      </c>
      <c r="H71" s="182">
        <v>169</v>
      </c>
    </row>
    <row r="72" spans="1:8" ht="15.5" x14ac:dyDescent="0.35">
      <c r="A72" s="9" t="s">
        <v>226</v>
      </c>
      <c r="B72" s="182">
        <v>283</v>
      </c>
      <c r="C72" s="182">
        <v>212</v>
      </c>
      <c r="D72" s="182">
        <v>110</v>
      </c>
      <c r="E72" s="182">
        <v>571</v>
      </c>
      <c r="F72" s="182">
        <v>480</v>
      </c>
      <c r="G72" s="182">
        <v>46</v>
      </c>
      <c r="H72" s="182">
        <v>384</v>
      </c>
    </row>
    <row r="73" spans="1:8" ht="15.5" x14ac:dyDescent="0.35">
      <c r="A73" s="9" t="s">
        <v>227</v>
      </c>
      <c r="B73" s="182">
        <v>820</v>
      </c>
      <c r="C73" s="182">
        <v>306</v>
      </c>
      <c r="D73" s="182">
        <v>243</v>
      </c>
      <c r="E73" s="182">
        <v>1722</v>
      </c>
      <c r="F73" s="182">
        <v>666</v>
      </c>
      <c r="G73" s="182">
        <v>19</v>
      </c>
      <c r="H73" s="182">
        <v>1088</v>
      </c>
    </row>
    <row r="74" spans="1:8" ht="15.5" x14ac:dyDescent="0.35">
      <c r="A74" s="9" t="s">
        <v>228</v>
      </c>
      <c r="B74" s="182">
        <v>743</v>
      </c>
      <c r="C74" s="182">
        <v>146</v>
      </c>
      <c r="D74" s="182">
        <v>46</v>
      </c>
      <c r="E74" s="182">
        <v>907</v>
      </c>
      <c r="F74" s="182">
        <v>353</v>
      </c>
      <c r="G74" s="182">
        <v>45</v>
      </c>
      <c r="H74" s="182">
        <v>525</v>
      </c>
    </row>
    <row r="75" spans="1:8" ht="15.5" x14ac:dyDescent="0.35">
      <c r="A75" s="9"/>
      <c r="B75" s="26"/>
      <c r="C75" s="26"/>
      <c r="D75" s="26"/>
      <c r="E75" s="26"/>
      <c r="F75" s="23"/>
      <c r="G75" s="23"/>
      <c r="H75" s="23"/>
    </row>
    <row r="76" spans="1:8" x14ac:dyDescent="0.35">
      <c r="A76" s="1" t="s">
        <v>154</v>
      </c>
      <c r="B76" s="27">
        <f>SUM(B3:B74)</f>
        <v>56224</v>
      </c>
      <c r="C76" s="27">
        <f t="shared" ref="C76:H76" si="0">SUM(C3:C74)</f>
        <v>21387</v>
      </c>
      <c r="D76" s="27">
        <f t="shared" si="0"/>
        <v>30460</v>
      </c>
      <c r="E76" s="27">
        <f t="shared" si="0"/>
        <v>88887</v>
      </c>
      <c r="F76" s="27">
        <f t="shared" si="0"/>
        <v>49120</v>
      </c>
      <c r="G76" s="27">
        <f t="shared" si="0"/>
        <v>7087</v>
      </c>
      <c r="H76" s="27">
        <f t="shared" si="0"/>
        <v>43871</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S25" sqref="S25"/>
    </sheetView>
  </sheetViews>
  <sheetFormatPr defaultRowHeight="14.5" x14ac:dyDescent="0.35"/>
  <cols>
    <col min="1" max="1" width="42.6328125" customWidth="1"/>
    <col min="2" max="2" width="11.08984375" customWidth="1"/>
    <col min="3" max="3" width="15" bestFit="1" customWidth="1"/>
    <col min="4" max="4" width="15.453125" bestFit="1" customWidth="1"/>
    <col min="5" max="5" width="20.6328125" customWidth="1"/>
    <col min="6" max="6" width="7.54296875" customWidth="1"/>
    <col min="8" max="8" width="39.453125" bestFit="1" customWidth="1"/>
    <col min="9" max="9" width="22.6328125" customWidth="1"/>
    <col min="10" max="10" width="19" bestFit="1" customWidth="1"/>
    <col min="11" max="11" width="18.54296875" customWidth="1"/>
    <col min="12" max="12" width="15.36328125" hidden="1" customWidth="1"/>
    <col min="13" max="13" width="12.81640625" hidden="1" customWidth="1"/>
    <col min="14" max="14" width="18.1796875" hidden="1" customWidth="1"/>
  </cols>
  <sheetData>
    <row r="1" spans="1:14" ht="21" x14ac:dyDescent="0.5">
      <c r="A1" s="253" t="s">
        <v>298</v>
      </c>
      <c r="B1" s="253"/>
      <c r="C1" s="253"/>
      <c r="D1" s="253"/>
      <c r="E1" s="253"/>
      <c r="F1" s="136"/>
      <c r="H1" s="195" t="s">
        <v>466</v>
      </c>
      <c r="I1" s="155">
        <f>I3-M9</f>
        <v>7130101440.5477247</v>
      </c>
    </row>
    <row r="2" spans="1:14" x14ac:dyDescent="0.35">
      <c r="K2" s="239"/>
      <c r="N2" s="200"/>
    </row>
    <row r="3" spans="1:14" ht="15.5" x14ac:dyDescent="0.35">
      <c r="A3" s="254" t="s">
        <v>300</v>
      </c>
      <c r="B3" s="254"/>
      <c r="C3" s="254"/>
      <c r="D3" s="254"/>
      <c r="E3" s="254"/>
      <c r="F3" s="254"/>
      <c r="H3" s="1" t="s">
        <v>475</v>
      </c>
      <c r="I3" s="137">
        <f>6955137102.8151+M10</f>
        <v>7068037102.8150997</v>
      </c>
      <c r="J3" s="138">
        <f>SUM(J4:J6)</f>
        <v>1</v>
      </c>
      <c r="K3" s="239"/>
    </row>
    <row r="4" spans="1:14" x14ac:dyDescent="0.35">
      <c r="H4" t="s">
        <v>299</v>
      </c>
      <c r="I4" s="139">
        <f>$I$3*J4</f>
        <v>4240822261.6890597</v>
      </c>
      <c r="J4" s="140">
        <v>0.6</v>
      </c>
      <c r="K4" s="238"/>
      <c r="L4" s="200"/>
    </row>
    <row r="5" spans="1:14" ht="29" x14ac:dyDescent="0.35">
      <c r="A5" s="1"/>
      <c r="C5" s="6" t="s">
        <v>465</v>
      </c>
      <c r="H5" t="s">
        <v>301</v>
      </c>
      <c r="I5" s="139">
        <f>$I$3*J5</f>
        <v>1413607420.56302</v>
      </c>
      <c r="J5" s="140">
        <v>0.2</v>
      </c>
    </row>
    <row r="6" spans="1:14" x14ac:dyDescent="0.35">
      <c r="A6" t="s">
        <v>303</v>
      </c>
      <c r="C6" s="139">
        <f>M18/'Base-AllFTES Data'!AP76</f>
        <v>3023.7748820332131</v>
      </c>
      <c r="H6" s="141" t="s">
        <v>302</v>
      </c>
      <c r="I6" s="139">
        <f>$I$3*J6</f>
        <v>1413607420.56302</v>
      </c>
      <c r="J6" s="140">
        <v>0.2</v>
      </c>
    </row>
    <row r="7" spans="1:14" x14ac:dyDescent="0.35">
      <c r="C7" s="139"/>
    </row>
    <row r="8" spans="1:14" x14ac:dyDescent="0.35">
      <c r="L8" s="195" t="s">
        <v>467</v>
      </c>
      <c r="M8" s="202">
        <f>M10-M9</f>
        <v>174964337.73262495</v>
      </c>
    </row>
    <row r="9" spans="1:14" ht="15.5" x14ac:dyDescent="0.35">
      <c r="A9" s="254" t="s">
        <v>312</v>
      </c>
      <c r="B9" s="254"/>
      <c r="C9" s="254"/>
      <c r="D9" s="254"/>
      <c r="E9" s="254"/>
      <c r="F9" s="254"/>
      <c r="L9" s="148" t="s">
        <v>140</v>
      </c>
      <c r="M9" s="203">
        <f>Allocations!K76</f>
        <v>-62064337.732624963</v>
      </c>
    </row>
    <row r="10" spans="1:14" x14ac:dyDescent="0.35">
      <c r="L10" s="7" t="s">
        <v>468</v>
      </c>
      <c r="M10" s="204">
        <v>112900000</v>
      </c>
    </row>
    <row r="11" spans="1:14" ht="29" x14ac:dyDescent="0.35">
      <c r="A11" s="1" t="s">
        <v>315</v>
      </c>
      <c r="B11" s="6" t="s">
        <v>316</v>
      </c>
      <c r="C11" s="6" t="s">
        <v>317</v>
      </c>
      <c r="D11" s="6" t="s">
        <v>318</v>
      </c>
      <c r="E11" s="6" t="s">
        <v>319</v>
      </c>
      <c r="F11" s="6" t="s">
        <v>320</v>
      </c>
    </row>
    <row r="12" spans="1:14" x14ac:dyDescent="0.35">
      <c r="A12" t="s">
        <v>322</v>
      </c>
      <c r="B12">
        <v>1</v>
      </c>
      <c r="C12" s="26">
        <f>'Supplemental Data'!D75+'Supplemental Data'!J75</f>
        <v>525146.22817754932</v>
      </c>
      <c r="D12" s="26">
        <f>C12*B12</f>
        <v>525146.22817754932</v>
      </c>
      <c r="E12" s="143">
        <f>D12*$B$17</f>
        <v>801395768.51740944</v>
      </c>
      <c r="F12" s="140">
        <f>E12/$E$15</f>
        <v>0.56691536621831307</v>
      </c>
      <c r="H12" s="195" t="s">
        <v>304</v>
      </c>
      <c r="I12" s="240" t="s">
        <v>508</v>
      </c>
      <c r="J12" s="241" t="s">
        <v>509</v>
      </c>
    </row>
    <row r="13" spans="1:14" x14ac:dyDescent="0.35">
      <c r="A13" t="s">
        <v>323</v>
      </c>
      <c r="B13">
        <v>1</v>
      </c>
      <c r="C13" s="26">
        <f>'Supplemental Data'!P75</f>
        <v>401175.86409631057</v>
      </c>
      <c r="D13" s="26">
        <f>C13*B13</f>
        <v>401175.86409631057</v>
      </c>
      <c r="E13" s="143">
        <f>D13*$B$17</f>
        <v>612211652.04561055</v>
      </c>
      <c r="F13" s="140">
        <f>E13/$E$15</f>
        <v>0.43308463378168688</v>
      </c>
      <c r="H13" t="s">
        <v>305</v>
      </c>
      <c r="I13" s="198">
        <v>3259.1693874330526</v>
      </c>
      <c r="J13" s="198">
        <f>I13*(1+I40)</f>
        <v>3347.4928778324879</v>
      </c>
    </row>
    <row r="14" spans="1:14" x14ac:dyDescent="0.35">
      <c r="E14" s="140"/>
      <c r="F14" s="140"/>
      <c r="H14" t="s">
        <v>307</v>
      </c>
      <c r="I14" s="198">
        <v>5312.6988940982537</v>
      </c>
      <c r="J14" s="139">
        <f>I14*(1+I40)</f>
        <v>5456.6730341283155</v>
      </c>
    </row>
    <row r="15" spans="1:14" ht="29" x14ac:dyDescent="0.35">
      <c r="A15" t="s">
        <v>0</v>
      </c>
      <c r="B15" s="144">
        <f>SUM(B12:B13)</f>
        <v>2</v>
      </c>
      <c r="C15" s="26">
        <f>SUM(C12:C13)</f>
        <v>926322.09227385989</v>
      </c>
      <c r="D15" s="26">
        <f>SUM(D12:D13)</f>
        <v>926322.09227385989</v>
      </c>
      <c r="E15" s="143">
        <f>SUM(E12:E13)</f>
        <v>1413607420.56302</v>
      </c>
      <c r="F15" s="140">
        <f>E15/$E$15</f>
        <v>1</v>
      </c>
      <c r="H15" s="4" t="s">
        <v>309</v>
      </c>
      <c r="I15" s="198">
        <v>5312.6988940982537</v>
      </c>
      <c r="J15" s="139">
        <f>I15*(1+I40)</f>
        <v>5456.6730341283155</v>
      </c>
      <c r="L15" s="200"/>
      <c r="N15" s="238"/>
    </row>
    <row r="16" spans="1:14" x14ac:dyDescent="0.35">
      <c r="B16" s="144"/>
      <c r="C16" s="26"/>
      <c r="D16" s="26"/>
      <c r="E16" s="143"/>
      <c r="F16" s="143"/>
    </row>
    <row r="17" spans="1:14" x14ac:dyDescent="0.35">
      <c r="A17" s="7" t="s">
        <v>327</v>
      </c>
      <c r="B17" s="142">
        <f>I5/D15</f>
        <v>1526.0430819403343</v>
      </c>
      <c r="D17" s="26"/>
      <c r="E17" s="143"/>
      <c r="F17" s="143"/>
      <c r="L17" s="1" t="s">
        <v>476</v>
      </c>
      <c r="M17" s="1"/>
    </row>
    <row r="18" spans="1:14" x14ac:dyDescent="0.35">
      <c r="K18" s="200"/>
      <c r="L18" t="s">
        <v>306</v>
      </c>
      <c r="M18" s="142">
        <f>I4-SUM(M19:M24)</f>
        <v>3152633367.5033522</v>
      </c>
      <c r="N18" s="200"/>
    </row>
    <row r="19" spans="1:14" ht="15.5" x14ac:dyDescent="0.35">
      <c r="A19" s="254" t="s">
        <v>330</v>
      </c>
      <c r="B19" s="254"/>
      <c r="C19" s="254"/>
      <c r="D19" s="254"/>
      <c r="E19" s="254"/>
      <c r="F19" s="254"/>
      <c r="L19" t="s">
        <v>308</v>
      </c>
      <c r="M19" s="200">
        <f>7560804.04038429-18398+45</f>
        <v>7542451.0403842898</v>
      </c>
      <c r="N19" s="200"/>
    </row>
    <row r="20" spans="1:14" x14ac:dyDescent="0.35">
      <c r="L20" t="s">
        <v>310</v>
      </c>
      <c r="M20" s="200">
        <f>'Base $'!F80</f>
        <v>107995893.08184204</v>
      </c>
      <c r="N20" s="208">
        <f>SUM(M19:M24)</f>
        <v>1088188894.1857073</v>
      </c>
    </row>
    <row r="21" spans="1:14" ht="29" x14ac:dyDescent="0.35">
      <c r="A21" s="1" t="s">
        <v>333</v>
      </c>
      <c r="B21" s="6" t="s">
        <v>316</v>
      </c>
      <c r="C21" s="6" t="s">
        <v>317</v>
      </c>
      <c r="D21" s="6" t="s">
        <v>318</v>
      </c>
      <c r="E21" s="6" t="s">
        <v>334</v>
      </c>
      <c r="F21" s="6" t="s">
        <v>320</v>
      </c>
      <c r="L21" t="s">
        <v>311</v>
      </c>
      <c r="M21" s="200">
        <f>'Base $'!H80</f>
        <v>210596450.2528061</v>
      </c>
    </row>
    <row r="22" spans="1:14" x14ac:dyDescent="0.35">
      <c r="A22" t="s">
        <v>336</v>
      </c>
      <c r="B22">
        <v>3</v>
      </c>
      <c r="C22" s="26">
        <f>'Success Data'!D75</f>
        <v>104925.67618724178</v>
      </c>
      <c r="D22" s="26">
        <f>C22*B22</f>
        <v>314777.02856172534</v>
      </c>
      <c r="E22" s="142">
        <f t="shared" ref="E22:E28" si="0">$B$32*D22</f>
        <v>275598700.37236321</v>
      </c>
      <c r="F22" s="140">
        <f>E22/$E$30</f>
        <v>0.25994836224293549</v>
      </c>
      <c r="L22" t="s">
        <v>313</v>
      </c>
      <c r="M22" s="200">
        <f>'Base $'!J78+'Base $'!K78</f>
        <v>176731041.602649</v>
      </c>
    </row>
    <row r="23" spans="1:14" x14ac:dyDescent="0.35">
      <c r="A23" t="s">
        <v>338</v>
      </c>
      <c r="B23">
        <v>4</v>
      </c>
      <c r="C23" s="26">
        <f>'Success Data'!J75</f>
        <v>41916.833331273272</v>
      </c>
      <c r="D23" s="26">
        <f t="shared" ref="D23:D28" si="1">C23*B23</f>
        <v>167667.33332509309</v>
      </c>
      <c r="E23" s="142">
        <f t="shared" si="0"/>
        <v>146798828.90575755</v>
      </c>
      <c r="F23" s="140">
        <f t="shared" ref="F23:F30" si="2">E23/$E$30</f>
        <v>0.13846260922738093</v>
      </c>
      <c r="L23" t="s">
        <v>314</v>
      </c>
      <c r="M23" s="200">
        <f>'Base $'!L78</f>
        <v>1703070.4765260564</v>
      </c>
    </row>
    <row r="24" spans="1:14" x14ac:dyDescent="0.35">
      <c r="A24" t="s">
        <v>340</v>
      </c>
      <c r="B24">
        <v>2</v>
      </c>
      <c r="C24" s="26">
        <f>'Success Data'!P75</f>
        <v>69022.227816838713</v>
      </c>
      <c r="D24" s="26">
        <f t="shared" si="1"/>
        <v>138044.45563367743</v>
      </c>
      <c r="E24" s="142">
        <f t="shared" si="0"/>
        <v>120862925.54474489</v>
      </c>
      <c r="F24" s="140">
        <f t="shared" si="2"/>
        <v>0.11399951998611409</v>
      </c>
      <c r="L24" t="s">
        <v>321</v>
      </c>
      <c r="M24" s="200">
        <f>'Base $'!B78</f>
        <v>583619987.73149991</v>
      </c>
    </row>
    <row r="25" spans="1:14" x14ac:dyDescent="0.35">
      <c r="A25" t="s">
        <v>341</v>
      </c>
      <c r="B25">
        <v>1</v>
      </c>
      <c r="C25" s="26">
        <f>'Success Data'!V75</f>
        <v>191602.16997069304</v>
      </c>
      <c r="D25" s="26">
        <f t="shared" si="1"/>
        <v>191602.16997069304</v>
      </c>
      <c r="E25" s="142">
        <f t="shared" si="0"/>
        <v>167754646.11799943</v>
      </c>
      <c r="F25" s="140">
        <f t="shared" si="2"/>
        <v>0.15822841493119791</v>
      </c>
      <c r="L25" s="142"/>
    </row>
    <row r="26" spans="1:14" x14ac:dyDescent="0.35">
      <c r="A26" t="s">
        <v>343</v>
      </c>
      <c r="B26">
        <v>1.5</v>
      </c>
      <c r="C26" s="26">
        <f>'Success Data'!AB75</f>
        <v>106002.43041292788</v>
      </c>
      <c r="D26" s="26">
        <f t="shared" si="1"/>
        <v>159003.64561939181</v>
      </c>
      <c r="E26" s="142">
        <f t="shared" si="0"/>
        <v>139213456.22772846</v>
      </c>
      <c r="F26" s="140">
        <f t="shared" si="2"/>
        <v>0.13130798476074937</v>
      </c>
      <c r="K26" s="242">
        <f>C6/J15</f>
        <v>0.55414258159161456</v>
      </c>
      <c r="L26" s="142"/>
    </row>
    <row r="27" spans="1:14" x14ac:dyDescent="0.35">
      <c r="A27" t="s">
        <v>345</v>
      </c>
      <c r="B27">
        <v>2</v>
      </c>
      <c r="C27" s="26">
        <f>'Success Data'!AN75</f>
        <v>21295</v>
      </c>
      <c r="D27" s="26">
        <f t="shared" si="1"/>
        <v>42590</v>
      </c>
      <c r="E27" s="142">
        <f t="shared" si="0"/>
        <v>37289089.049766116</v>
      </c>
      <c r="F27" s="140">
        <f t="shared" si="2"/>
        <v>3.5171565086921978E-2</v>
      </c>
      <c r="H27" s="1" t="s">
        <v>308</v>
      </c>
      <c r="I27" s="195" t="s">
        <v>510</v>
      </c>
      <c r="J27" s="195" t="s">
        <v>464</v>
      </c>
      <c r="K27" s="243" t="s">
        <v>511</v>
      </c>
      <c r="L27" s="142"/>
    </row>
    <row r="28" spans="1:14" x14ac:dyDescent="0.35">
      <c r="A28" t="s">
        <v>347</v>
      </c>
      <c r="B28">
        <v>1</v>
      </c>
      <c r="C28" s="26">
        <f>'Success Data'!AH75</f>
        <v>197236.74314163654</v>
      </c>
      <c r="D28" s="26">
        <f t="shared" si="1"/>
        <v>197236.74314163654</v>
      </c>
      <c r="E28" s="142">
        <f t="shared" si="0"/>
        <v>172687919.2039054</v>
      </c>
      <c r="F28" s="140">
        <f t="shared" si="2"/>
        <v>0.16288154376470021</v>
      </c>
      <c r="H28" t="s">
        <v>324</v>
      </c>
      <c r="I28" s="207">
        <v>5338.2355426758504</v>
      </c>
      <c r="J28" s="198">
        <f t="shared" ref="J28:J37" si="3">I28*(1+$I$40)</f>
        <v>5482.9017258823651</v>
      </c>
      <c r="K28" s="142">
        <f t="shared" ref="K28:K37" si="4">J28*$K$26</f>
        <v>3038.3093169935728</v>
      </c>
      <c r="L28" s="142"/>
    </row>
    <row r="29" spans="1:14" x14ac:dyDescent="0.35">
      <c r="C29" s="26"/>
      <c r="D29" s="26"/>
      <c r="E29" s="142"/>
      <c r="F29" s="142"/>
      <c r="H29" t="s">
        <v>325</v>
      </c>
      <c r="I29" s="207">
        <v>5441.1673095334536</v>
      </c>
      <c r="J29" s="198">
        <f t="shared" si="3"/>
        <v>5588.62294362181</v>
      </c>
      <c r="K29" s="199">
        <f t="shared" si="4"/>
        <v>3096.8939455207178</v>
      </c>
      <c r="L29" s="142"/>
    </row>
    <row r="30" spans="1:14" x14ac:dyDescent="0.35">
      <c r="A30" t="s">
        <v>0</v>
      </c>
      <c r="B30" s="144">
        <f>SUM(B22:B28)</f>
        <v>14.5</v>
      </c>
      <c r="C30" s="26">
        <f>SUM(C22:C28)</f>
        <v>732001.08086061128</v>
      </c>
      <c r="D30" s="26">
        <f>SUM(D22:D28)</f>
        <v>1210921.3762522172</v>
      </c>
      <c r="E30" s="142">
        <f>SUM(E22:E28)</f>
        <v>1060205565.4222651</v>
      </c>
      <c r="F30" s="140">
        <f t="shared" si="2"/>
        <v>1</v>
      </c>
      <c r="H30" t="s">
        <v>326</v>
      </c>
      <c r="I30" s="207">
        <v>5407.726017645854</v>
      </c>
      <c r="J30" s="198">
        <f t="shared" si="3"/>
        <v>5554.2753927240565</v>
      </c>
      <c r="K30" s="197">
        <f t="shared" si="4"/>
        <v>3077.8605049948874</v>
      </c>
      <c r="L30" s="142"/>
    </row>
    <row r="31" spans="1:14" x14ac:dyDescent="0.35">
      <c r="B31" s="144"/>
      <c r="C31" s="26"/>
      <c r="D31" s="26"/>
      <c r="E31" s="142"/>
      <c r="F31" s="142"/>
      <c r="H31" t="s">
        <v>328</v>
      </c>
      <c r="I31" s="207">
        <v>6073.82137417385</v>
      </c>
      <c r="J31" s="198">
        <f t="shared" si="3"/>
        <v>6238.4219334139607</v>
      </c>
      <c r="K31" s="197">
        <f t="shared" si="4"/>
        <v>3456.9752352397636</v>
      </c>
    </row>
    <row r="32" spans="1:14" x14ac:dyDescent="0.35">
      <c r="A32" s="7" t="s">
        <v>349</v>
      </c>
      <c r="B32" s="142">
        <f>(I6*0.75)/D30</f>
        <v>875.53625380995811</v>
      </c>
      <c r="C32" s="26"/>
      <c r="D32" s="26"/>
      <c r="E32" s="142"/>
      <c r="F32" s="142"/>
      <c r="H32" t="s">
        <v>329</v>
      </c>
      <c r="I32" s="207">
        <v>5321.8618647926496</v>
      </c>
      <c r="J32" s="198">
        <f t="shared" si="3"/>
        <v>5466.0843213285298</v>
      </c>
      <c r="K32" s="197">
        <f t="shared" si="4"/>
        <v>3028.9900770184399</v>
      </c>
    </row>
    <row r="33" spans="1:11" x14ac:dyDescent="0.35">
      <c r="H33" t="s">
        <v>331</v>
      </c>
      <c r="I33" s="207">
        <v>5353.6878926134541</v>
      </c>
      <c r="J33" s="198">
        <f t="shared" si="3"/>
        <v>5498.7728345032783</v>
      </c>
      <c r="K33" s="197">
        <f t="shared" si="4"/>
        <v>3047.1041740974865</v>
      </c>
    </row>
    <row r="34" spans="1:11" ht="29" x14ac:dyDescent="0.35">
      <c r="A34" s="1" t="s">
        <v>350</v>
      </c>
      <c r="B34" s="6" t="s">
        <v>316</v>
      </c>
      <c r="C34" s="6" t="s">
        <v>317</v>
      </c>
      <c r="D34" s="6" t="s">
        <v>318</v>
      </c>
      <c r="E34" s="6" t="s">
        <v>351</v>
      </c>
      <c r="F34" s="6" t="s">
        <v>320</v>
      </c>
      <c r="H34" t="s">
        <v>332</v>
      </c>
      <c r="I34" s="207">
        <v>5335.9762104790534</v>
      </c>
      <c r="J34" s="198">
        <f t="shared" si="3"/>
        <v>5480.5811657830354</v>
      </c>
      <c r="K34" s="197">
        <f t="shared" si="4"/>
        <v>3037.0233958293916</v>
      </c>
    </row>
    <row r="35" spans="1:11" x14ac:dyDescent="0.35">
      <c r="A35" t="str">
        <f>CONCATENATE(A22, " (Pell)")</f>
        <v>AAs (Pell)</v>
      </c>
      <c r="B35">
        <f>B22</f>
        <v>3</v>
      </c>
      <c r="C35" s="26">
        <f>'Combo Data'!B76</f>
        <v>56224</v>
      </c>
      <c r="D35" s="26">
        <f>C35*B35</f>
        <v>168672</v>
      </c>
      <c r="E35" s="142">
        <f t="shared" ref="E35:E41" si="5">$B$45*D35</f>
        <v>111262296.1935773</v>
      </c>
      <c r="F35" s="140">
        <f>E35/$E$43</f>
        <v>0.31483223581059894</v>
      </c>
      <c r="G35" s="140"/>
      <c r="H35" t="s">
        <v>335</v>
      </c>
      <c r="I35" s="207">
        <v>5382.5331588086538</v>
      </c>
      <c r="J35" s="198">
        <f t="shared" si="3"/>
        <v>5528.3998074123674</v>
      </c>
      <c r="K35" s="197">
        <f t="shared" si="4"/>
        <v>3063.5217413500741</v>
      </c>
    </row>
    <row r="36" spans="1:11" x14ac:dyDescent="0.35">
      <c r="A36" t="s">
        <v>352</v>
      </c>
      <c r="B36">
        <f>B23</f>
        <v>4</v>
      </c>
      <c r="C36" s="26">
        <f>'Combo Data'!C76</f>
        <v>21387</v>
      </c>
      <c r="D36" s="26">
        <f t="shared" ref="D36:D41" si="6">C36*B36</f>
        <v>85548</v>
      </c>
      <c r="E36" s="142">
        <f t="shared" si="5"/>
        <v>56430628.170461908</v>
      </c>
      <c r="F36" s="140">
        <f t="shared" ref="F36:F43" si="7">E36/$E$43</f>
        <v>0.15967835864355148</v>
      </c>
      <c r="H36" t="s">
        <v>337</v>
      </c>
      <c r="I36" s="207">
        <v>5452.5282468258529</v>
      </c>
      <c r="J36" s="198">
        <f t="shared" si="3"/>
        <v>5600.2917623148332</v>
      </c>
      <c r="K36" s="197">
        <f t="shared" si="4"/>
        <v>3103.3601348353945</v>
      </c>
    </row>
    <row r="37" spans="1:11" x14ac:dyDescent="0.35">
      <c r="A37" t="s">
        <v>353</v>
      </c>
      <c r="B37">
        <f>B24</f>
        <v>2</v>
      </c>
      <c r="C37" s="26">
        <f>'Combo Data'!D76</f>
        <v>30460</v>
      </c>
      <c r="D37" s="26">
        <f t="shared" si="6"/>
        <v>60920</v>
      </c>
      <c r="E37" s="142">
        <f t="shared" si="5"/>
        <v>40185087.531497397</v>
      </c>
      <c r="F37" s="140">
        <f t="shared" si="7"/>
        <v>0.11370932819662828</v>
      </c>
      <c r="H37" t="s">
        <v>339</v>
      </c>
      <c r="I37" s="207">
        <v>7032.4116472122532</v>
      </c>
      <c r="J37" s="198">
        <f t="shared" si="3"/>
        <v>7222.990002851705</v>
      </c>
      <c r="K37" s="197">
        <f t="shared" si="4"/>
        <v>4002.5663269906672</v>
      </c>
    </row>
    <row r="38" spans="1:11" x14ac:dyDescent="0.35">
      <c r="A38" t="s">
        <v>354</v>
      </c>
      <c r="B38">
        <f t="shared" ref="B38:B41" si="8">B25</f>
        <v>1</v>
      </c>
      <c r="C38" s="26">
        <f>'Combo Data'!E76</f>
        <v>88887</v>
      </c>
      <c r="D38" s="26">
        <f t="shared" si="6"/>
        <v>88887</v>
      </c>
      <c r="E38" s="142">
        <f t="shared" si="5"/>
        <v>58633156.195210263</v>
      </c>
      <c r="F38" s="140">
        <f t="shared" si="7"/>
        <v>0.16591071988532008</v>
      </c>
      <c r="K38" s="142"/>
    </row>
    <row r="39" spans="1:11" x14ac:dyDescent="0.35">
      <c r="A39" t="s">
        <v>355</v>
      </c>
      <c r="B39">
        <f t="shared" si="8"/>
        <v>1.5</v>
      </c>
      <c r="C39" s="26">
        <f>'Combo Data'!F76</f>
        <v>49120</v>
      </c>
      <c r="D39" s="26">
        <f t="shared" si="6"/>
        <v>73680</v>
      </c>
      <c r="E39" s="142">
        <f t="shared" si="5"/>
        <v>48602055.963899024</v>
      </c>
      <c r="F39" s="140">
        <f t="shared" si="7"/>
        <v>0.13752631814720245</v>
      </c>
      <c r="H39" s="1" t="s">
        <v>342</v>
      </c>
      <c r="K39" s="142"/>
    </row>
    <row r="40" spans="1:11" x14ac:dyDescent="0.35">
      <c r="A40" t="s">
        <v>356</v>
      </c>
      <c r="B40">
        <f t="shared" si="8"/>
        <v>2</v>
      </c>
      <c r="C40" s="26">
        <f>'Combo Data'!G76</f>
        <v>7087</v>
      </c>
      <c r="D40" s="26">
        <f t="shared" si="6"/>
        <v>14174</v>
      </c>
      <c r="E40" s="142">
        <f t="shared" si="5"/>
        <v>9349695.1850204226</v>
      </c>
      <c r="F40" s="140">
        <f t="shared" si="7"/>
        <v>2.6456270811868177E-2</v>
      </c>
      <c r="H40" t="s">
        <v>344</v>
      </c>
      <c r="I40" s="145">
        <f>MacroInformation!D29</f>
        <v>2.7099999999999999E-2</v>
      </c>
    </row>
    <row r="41" spans="1:11" x14ac:dyDescent="0.35">
      <c r="A41" t="s">
        <v>357</v>
      </c>
      <c r="B41">
        <f t="shared" si="8"/>
        <v>1</v>
      </c>
      <c r="C41" s="26">
        <f>'Combo Data'!H76</f>
        <v>43871</v>
      </c>
      <c r="D41" s="26">
        <f t="shared" si="6"/>
        <v>43871</v>
      </c>
      <c r="E41" s="142">
        <f t="shared" si="5"/>
        <v>28938935.901088681</v>
      </c>
      <c r="F41" s="140">
        <f t="shared" si="7"/>
        <v>8.1886768504830593E-2</v>
      </c>
      <c r="H41" t="s">
        <v>346</v>
      </c>
      <c r="I41" s="145">
        <f>MacroInformation!D30</f>
        <v>2.5700000000000001E-2</v>
      </c>
    </row>
    <row r="42" spans="1:11" x14ac:dyDescent="0.35">
      <c r="H42" t="s">
        <v>348</v>
      </c>
      <c r="I42" s="145">
        <f>MacroInformation!D31</f>
        <v>2.6700000000000002E-2</v>
      </c>
    </row>
    <row r="43" spans="1:11" x14ac:dyDescent="0.35">
      <c r="A43" t="s">
        <v>0</v>
      </c>
      <c r="B43" s="144">
        <f>SUM(B35:B41)</f>
        <v>14.5</v>
      </c>
      <c r="C43" s="26">
        <f>SUM(C35:C41)</f>
        <v>297036</v>
      </c>
      <c r="D43" s="26">
        <f>SUM(D35:D41)</f>
        <v>535752</v>
      </c>
      <c r="E43" s="142">
        <f>SUM(E35:E41)</f>
        <v>353401855.140755</v>
      </c>
      <c r="F43" s="140">
        <f t="shared" si="7"/>
        <v>1</v>
      </c>
      <c r="H43" s="145"/>
    </row>
    <row r="45" spans="1:11" x14ac:dyDescent="0.35">
      <c r="A45" s="7" t="s">
        <v>358</v>
      </c>
      <c r="B45" s="142">
        <f>(I6*0.25)/D43</f>
        <v>659.63702448288575</v>
      </c>
    </row>
    <row r="47" spans="1:11" x14ac:dyDescent="0.35">
      <c r="A47" s="195" t="s">
        <v>514</v>
      </c>
    </row>
    <row r="48" spans="1:11" ht="15" x14ac:dyDescent="0.35">
      <c r="A48" s="244" t="s">
        <v>515</v>
      </c>
    </row>
    <row r="49" spans="1:1" ht="15" x14ac:dyDescent="0.35">
      <c r="A49" s="244" t="s">
        <v>516</v>
      </c>
    </row>
  </sheetData>
  <mergeCells count="4">
    <mergeCell ref="A1:E1"/>
    <mergeCell ref="A3:F3"/>
    <mergeCell ref="A9:F9"/>
    <mergeCell ref="A19:F19"/>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89"/>
  <sheetViews>
    <sheetView tabSelected="1" topLeftCell="C1" zoomScale="85" zoomScaleNormal="85" workbookViewId="0">
      <pane ySplit="2" topLeftCell="A68" activePane="bottomLeft" state="frozen"/>
      <selection pane="bottomLeft" sqref="A1:O89"/>
    </sheetView>
  </sheetViews>
  <sheetFormatPr defaultRowHeight="14.5" x14ac:dyDescent="0.35"/>
  <cols>
    <col min="1" max="1" width="21.08984375" style="3" customWidth="1"/>
    <col min="2" max="2" width="20.90625" style="146" customWidth="1"/>
    <col min="3" max="3" width="3.08984375" style="146" customWidth="1"/>
    <col min="4" max="4" width="18.7265625" bestFit="1" customWidth="1"/>
    <col min="5" max="5" width="6.36328125" customWidth="1"/>
    <col min="6" max="6" width="18.7265625" bestFit="1" customWidth="1"/>
    <col min="7" max="7" width="5.6328125" customWidth="1"/>
    <col min="8" max="8" width="18.7265625" customWidth="1"/>
    <col min="9" max="9" width="5.54296875" customWidth="1"/>
    <col min="10" max="10" width="18.7265625" bestFit="1" customWidth="1"/>
    <col min="11" max="11" width="16.7265625" customWidth="1"/>
    <col min="12" max="12" width="19.81640625" customWidth="1"/>
    <col min="13" max="13" width="18.36328125" customWidth="1"/>
    <col min="14" max="14" width="17.1796875" customWidth="1"/>
    <col min="15" max="15" width="9.6328125" customWidth="1"/>
    <col min="16" max="16" width="15.36328125" customWidth="1"/>
    <col min="18" max="18" width="16.36328125" bestFit="1" customWidth="1"/>
    <col min="19" max="19" width="12" customWidth="1"/>
    <col min="20" max="20" width="16.36328125" bestFit="1" customWidth="1"/>
    <col min="22" max="22" width="15.36328125" bestFit="1" customWidth="1"/>
  </cols>
  <sheetData>
    <row r="1" spans="1:16" ht="38.25" customHeight="1" thickBot="1" x14ac:dyDescent="0.4">
      <c r="D1" s="255" t="s">
        <v>537</v>
      </c>
      <c r="E1" s="256"/>
      <c r="F1" s="256"/>
      <c r="G1" s="256"/>
      <c r="H1" s="256"/>
      <c r="I1" s="256"/>
      <c r="J1" s="256"/>
      <c r="K1" s="256"/>
      <c r="L1" s="256"/>
      <c r="M1" s="256"/>
      <c r="N1" s="256"/>
      <c r="O1" s="256"/>
    </row>
    <row r="2" spans="1:16" s="201" customFormat="1" ht="71.25" customHeight="1" x14ac:dyDescent="0.35">
      <c r="A2" s="281" t="s">
        <v>155</v>
      </c>
      <c r="B2" s="282" t="s">
        <v>534</v>
      </c>
      <c r="C2" s="282"/>
      <c r="D2" s="283" t="s">
        <v>293</v>
      </c>
      <c r="E2" s="284" t="s">
        <v>470</v>
      </c>
      <c r="F2" s="285" t="s">
        <v>538</v>
      </c>
      <c r="G2" s="286" t="s">
        <v>470</v>
      </c>
      <c r="H2" s="287" t="s">
        <v>539</v>
      </c>
      <c r="I2" s="287" t="s">
        <v>470</v>
      </c>
      <c r="J2" s="288" t="s">
        <v>0</v>
      </c>
      <c r="K2" s="289" t="s">
        <v>469</v>
      </c>
      <c r="L2" s="290" t="s">
        <v>536</v>
      </c>
      <c r="M2" s="291" t="s">
        <v>540</v>
      </c>
      <c r="N2" s="290" t="s">
        <v>535</v>
      </c>
      <c r="O2" s="292" t="s">
        <v>471</v>
      </c>
    </row>
    <row r="3" spans="1:16" ht="18.5" x14ac:dyDescent="0.45">
      <c r="A3" s="293" t="s">
        <v>157</v>
      </c>
      <c r="B3" s="294">
        <v>58411385</v>
      </c>
      <c r="C3" s="294"/>
      <c r="D3" s="295">
        <f>'Base $'!N6</f>
        <v>37865486.683901317</v>
      </c>
      <c r="E3" s="296">
        <f>D3/J3</f>
        <v>0.60143640815283728</v>
      </c>
      <c r="F3" s="295">
        <f>'Supplement $'!E4</f>
        <v>11214031.485454001</v>
      </c>
      <c r="G3" s="296">
        <f>F3/J3</f>
        <v>0.17811805441264134</v>
      </c>
      <c r="H3" s="297">
        <f>'Success $'!R4</f>
        <v>13878902.988079706</v>
      </c>
      <c r="I3" s="298">
        <f>H3/J3</f>
        <v>0.22044553743452139</v>
      </c>
      <c r="J3" s="295">
        <f t="shared" ref="J3:J34" si="0">D3+F3+H3</f>
        <v>62958421.157435022</v>
      </c>
      <c r="K3" s="297">
        <f t="shared" ref="K3:K34" si="1">IF((J3-B3)&lt;0, (J3-B3),0)</f>
        <v>0</v>
      </c>
      <c r="L3" s="297">
        <f t="shared" ref="L3:L12" si="2">IF(((J3-B3)/B3)&lt;0,(0.0271*B3),IF(((J3-B3)/B3)&lt;0.027,((0.0271-(J3-B3)/B3)*B3),0))</f>
        <v>0</v>
      </c>
      <c r="M3" s="299">
        <f t="shared" ref="M3:M12" si="3">J3-K3+L3</f>
        <v>62958421.157435022</v>
      </c>
      <c r="N3" s="300">
        <f>M3-B3</f>
        <v>4547036.1574350223</v>
      </c>
      <c r="O3" s="301">
        <f>N3/B3</f>
        <v>7.7845032392829278E-2</v>
      </c>
    </row>
    <row r="4" spans="1:16" ht="18.5" x14ac:dyDescent="0.45">
      <c r="A4" s="302" t="s">
        <v>158</v>
      </c>
      <c r="B4" s="294">
        <v>62349983</v>
      </c>
      <c r="C4" s="294"/>
      <c r="D4" s="295">
        <f>'Base $'!N7</f>
        <v>39074263.219733365</v>
      </c>
      <c r="E4" s="296">
        <f t="shared" ref="E4:E67" si="4">D4/J4</f>
        <v>0.50810788115708683</v>
      </c>
      <c r="F4" s="295">
        <f>'Supplement $'!E5</f>
        <v>20872076.30283739</v>
      </c>
      <c r="G4" s="296">
        <f t="shared" ref="G4:G67" si="5">F4/J4</f>
        <v>0.2714130886088687</v>
      </c>
      <c r="H4" s="297">
        <f>'Success $'!R5</f>
        <v>16955170.311820384</v>
      </c>
      <c r="I4" s="298">
        <f t="shared" ref="I4:I67" si="6">H4/J4</f>
        <v>0.22047903023404433</v>
      </c>
      <c r="J4" s="295">
        <f t="shared" si="0"/>
        <v>76901509.834391147</v>
      </c>
      <c r="K4" s="297">
        <f t="shared" si="1"/>
        <v>0</v>
      </c>
      <c r="L4" s="297">
        <f t="shared" si="2"/>
        <v>0</v>
      </c>
      <c r="M4" s="299">
        <f t="shared" si="3"/>
        <v>76901509.834391147</v>
      </c>
      <c r="N4" s="300">
        <f t="shared" ref="N4:N67" si="7">M4-B4</f>
        <v>14551526.834391147</v>
      </c>
      <c r="O4" s="301">
        <f t="shared" ref="O4:O67" si="8">N4/B4</f>
        <v>0.2333846159090556</v>
      </c>
    </row>
    <row r="5" spans="1:16" ht="18.5" x14ac:dyDescent="0.45">
      <c r="A5" s="302" t="s">
        <v>159</v>
      </c>
      <c r="B5" s="294">
        <v>18677674</v>
      </c>
      <c r="C5" s="294"/>
      <c r="D5" s="295">
        <f>'Base $'!N8</f>
        <v>12852338.183610203</v>
      </c>
      <c r="E5" s="296">
        <f t="shared" si="4"/>
        <v>0.57749803752545426</v>
      </c>
      <c r="F5" s="295">
        <f>'Supplement $'!E6</f>
        <v>6205911.5891523166</v>
      </c>
      <c r="G5" s="296">
        <f t="shared" si="5"/>
        <v>0.27885212111538316</v>
      </c>
      <c r="H5" s="297">
        <f>'Success $'!R6</f>
        <v>3196956.9092925931</v>
      </c>
      <c r="I5" s="298">
        <f t="shared" si="6"/>
        <v>0.14364984135916264</v>
      </c>
      <c r="J5" s="295">
        <f t="shared" si="0"/>
        <v>22255206.682055112</v>
      </c>
      <c r="K5" s="297">
        <f t="shared" si="1"/>
        <v>0</v>
      </c>
      <c r="L5" s="297">
        <f t="shared" si="2"/>
        <v>0</v>
      </c>
      <c r="M5" s="299">
        <f t="shared" si="3"/>
        <v>22255206.682055112</v>
      </c>
      <c r="N5" s="300">
        <f t="shared" si="7"/>
        <v>3577532.682055112</v>
      </c>
      <c r="O5" s="301">
        <f t="shared" si="8"/>
        <v>0.19154058915768163</v>
      </c>
    </row>
    <row r="6" spans="1:16" ht="18.5" x14ac:dyDescent="0.45">
      <c r="A6" s="302" t="s">
        <v>160</v>
      </c>
      <c r="B6" s="294">
        <v>57709394</v>
      </c>
      <c r="C6" s="294"/>
      <c r="D6" s="295">
        <f>'Base $'!N9</f>
        <v>37560342.290776715</v>
      </c>
      <c r="E6" s="296">
        <f t="shared" si="4"/>
        <v>0.57836239253737209</v>
      </c>
      <c r="F6" s="295">
        <f>'Supplement $'!E7</f>
        <v>13225189.811468836</v>
      </c>
      <c r="G6" s="296">
        <f t="shared" si="5"/>
        <v>0.20364437474789102</v>
      </c>
      <c r="H6" s="297">
        <f>'Success $'!R7</f>
        <v>14157041.577196565</v>
      </c>
      <c r="I6" s="298">
        <f t="shared" si="6"/>
        <v>0.21799323271473675</v>
      </c>
      <c r="J6" s="295">
        <f t="shared" si="0"/>
        <v>64942573.679442123</v>
      </c>
      <c r="K6" s="297">
        <f t="shared" si="1"/>
        <v>0</v>
      </c>
      <c r="L6" s="297">
        <f t="shared" si="2"/>
        <v>0</v>
      </c>
      <c r="M6" s="299">
        <f t="shared" si="3"/>
        <v>64942573.679442123</v>
      </c>
      <c r="N6" s="300">
        <f t="shared" si="7"/>
        <v>7233179.6794421226</v>
      </c>
      <c r="O6" s="301">
        <f t="shared" si="8"/>
        <v>0.12533799400912307</v>
      </c>
    </row>
    <row r="7" spans="1:16" ht="18.5" x14ac:dyDescent="0.45">
      <c r="A7" s="302" t="s">
        <v>161</v>
      </c>
      <c r="B7" s="294">
        <v>61224556</v>
      </c>
      <c r="C7" s="294"/>
      <c r="D7" s="295">
        <f>'Base $'!N10</f>
        <v>38582304.126466684</v>
      </c>
      <c r="E7" s="296">
        <f t="shared" si="4"/>
        <v>0.66082873378615048</v>
      </c>
      <c r="F7" s="295">
        <f>'Supplement $'!E8</f>
        <v>9598846.2484593503</v>
      </c>
      <c r="G7" s="296">
        <f t="shared" si="5"/>
        <v>0.16440680658639126</v>
      </c>
      <c r="H7" s="297">
        <f>'Success $'!R8</f>
        <v>10203574.976547908</v>
      </c>
      <c r="I7" s="298">
        <f t="shared" si="6"/>
        <v>0.17476445962745829</v>
      </c>
      <c r="J7" s="295">
        <f t="shared" si="0"/>
        <v>58384725.351473942</v>
      </c>
      <c r="K7" s="297">
        <f t="shared" si="1"/>
        <v>-2839830.6485260576</v>
      </c>
      <c r="L7" s="297">
        <f t="shared" si="2"/>
        <v>1659185.4675999999</v>
      </c>
      <c r="M7" s="299">
        <f t="shared" si="3"/>
        <v>62883741.467600003</v>
      </c>
      <c r="N7" s="300">
        <f t="shared" si="7"/>
        <v>1659185.4676000029</v>
      </c>
      <c r="O7" s="301">
        <f t="shared" si="8"/>
        <v>2.7100000000000048E-2</v>
      </c>
    </row>
    <row r="8" spans="1:16" ht="18.5" x14ac:dyDescent="0.45">
      <c r="A8" s="302" t="s">
        <v>162</v>
      </c>
      <c r="B8" s="294">
        <v>93421450</v>
      </c>
      <c r="C8" s="294"/>
      <c r="D8" s="295">
        <f>'Base $'!N11</f>
        <v>57052189.964624904</v>
      </c>
      <c r="E8" s="296">
        <f t="shared" si="4"/>
        <v>0.51965139805317206</v>
      </c>
      <c r="F8" s="295">
        <f>'Supplement $'!E9</f>
        <v>29403425.007574007</v>
      </c>
      <c r="G8" s="296">
        <f t="shared" si="5"/>
        <v>0.26781672924757971</v>
      </c>
      <c r="H8" s="297">
        <f>'Success $'!R9</f>
        <v>23333736.462947596</v>
      </c>
      <c r="I8" s="298">
        <f t="shared" si="6"/>
        <v>0.21253187269924836</v>
      </c>
      <c r="J8" s="295">
        <f t="shared" si="0"/>
        <v>109789351.4351465</v>
      </c>
      <c r="K8" s="297">
        <f t="shared" si="1"/>
        <v>0</v>
      </c>
      <c r="L8" s="297">
        <f t="shared" si="2"/>
        <v>0</v>
      </c>
      <c r="M8" s="299">
        <f t="shared" si="3"/>
        <v>109789351.4351465</v>
      </c>
      <c r="N8" s="300">
        <f t="shared" si="7"/>
        <v>16367901.435146496</v>
      </c>
      <c r="O8" s="301">
        <f t="shared" si="8"/>
        <v>0.17520496026497656</v>
      </c>
    </row>
    <row r="9" spans="1:16" ht="18.5" x14ac:dyDescent="0.45">
      <c r="A9" s="302" t="s">
        <v>163</v>
      </c>
      <c r="B9" s="294">
        <v>100588882</v>
      </c>
      <c r="C9" s="294"/>
      <c r="D9" s="295">
        <f>'Base $'!N12</f>
        <v>59393731.687212273</v>
      </c>
      <c r="E9" s="296">
        <f t="shared" si="4"/>
        <v>0.65391612218507844</v>
      </c>
      <c r="F9" s="295">
        <f>'Supplement $'!E10</f>
        <v>13809930.745888732</v>
      </c>
      <c r="G9" s="296">
        <f t="shared" si="5"/>
        <v>0.15204527657150663</v>
      </c>
      <c r="H9" s="297">
        <f>'Success $'!R10</f>
        <v>17624090.044917904</v>
      </c>
      <c r="I9" s="298">
        <f t="shared" si="6"/>
        <v>0.19403860124341493</v>
      </c>
      <c r="J9" s="295">
        <f t="shared" si="0"/>
        <v>90827752.47801891</v>
      </c>
      <c r="K9" s="297">
        <f t="shared" si="1"/>
        <v>-9761129.5219810903</v>
      </c>
      <c r="L9" s="297">
        <f t="shared" si="2"/>
        <v>2725958.7021999997</v>
      </c>
      <c r="M9" s="299">
        <f t="shared" si="3"/>
        <v>103314840.7022</v>
      </c>
      <c r="N9" s="300">
        <f t="shared" si="7"/>
        <v>2725958.7021999955</v>
      </c>
      <c r="O9" s="301">
        <f t="shared" si="8"/>
        <v>2.7099999999999954E-2</v>
      </c>
    </row>
    <row r="10" spans="1:16" ht="18.5" x14ac:dyDescent="0.45">
      <c r="A10" s="302" t="s">
        <v>164</v>
      </c>
      <c r="B10" s="294">
        <v>93661793</v>
      </c>
      <c r="C10" s="294"/>
      <c r="D10" s="295">
        <f>'Base $'!N13</f>
        <v>57482117.233258829</v>
      </c>
      <c r="E10" s="296">
        <f t="shared" si="4"/>
        <v>0.54658160753160945</v>
      </c>
      <c r="F10" s="295">
        <f>'Supplement $'!E11</f>
        <v>24754740.882206388</v>
      </c>
      <c r="G10" s="296">
        <f t="shared" si="5"/>
        <v>0.23538600727803663</v>
      </c>
      <c r="H10" s="297">
        <f>'Success $'!R11</f>
        <v>22929719.832246963</v>
      </c>
      <c r="I10" s="298">
        <f t="shared" si="6"/>
        <v>0.21803238519035392</v>
      </c>
      <c r="J10" s="295">
        <f t="shared" si="0"/>
        <v>105166577.94771218</v>
      </c>
      <c r="K10" s="297">
        <f t="shared" si="1"/>
        <v>0</v>
      </c>
      <c r="L10" s="297">
        <f t="shared" si="2"/>
        <v>0</v>
      </c>
      <c r="M10" s="299">
        <f t="shared" si="3"/>
        <v>105166577.94771218</v>
      </c>
      <c r="N10" s="300">
        <f t="shared" si="7"/>
        <v>11504784.947712183</v>
      </c>
      <c r="O10" s="301">
        <f t="shared" si="8"/>
        <v>0.12283327682732043</v>
      </c>
    </row>
    <row r="11" spans="1:16" ht="18.5" x14ac:dyDescent="0.45">
      <c r="A11" s="302" t="s">
        <v>165</v>
      </c>
      <c r="B11" s="294">
        <v>68231528</v>
      </c>
      <c r="C11" s="294"/>
      <c r="D11" s="295">
        <f>'Base $'!N14</f>
        <v>42225219.458698846</v>
      </c>
      <c r="E11" s="296">
        <f t="shared" si="4"/>
        <v>0.53033830506628277</v>
      </c>
      <c r="F11" s="295">
        <f>'Supplement $'!E12</f>
        <v>13371504.426143149</v>
      </c>
      <c r="G11" s="296">
        <f t="shared" si="5"/>
        <v>0.16794278595717627</v>
      </c>
      <c r="H11" s="297">
        <f>'Success $'!R12</f>
        <v>24022679.532419097</v>
      </c>
      <c r="I11" s="298">
        <f t="shared" si="6"/>
        <v>0.30171890897654097</v>
      </c>
      <c r="J11" s="295">
        <f t="shared" si="0"/>
        <v>79619403.417261094</v>
      </c>
      <c r="K11" s="297">
        <f t="shared" si="1"/>
        <v>0</v>
      </c>
      <c r="L11" s="297">
        <f t="shared" si="2"/>
        <v>0</v>
      </c>
      <c r="M11" s="299">
        <f t="shared" si="3"/>
        <v>79619403.417261094</v>
      </c>
      <c r="N11" s="300">
        <f t="shared" si="7"/>
        <v>11387875.417261094</v>
      </c>
      <c r="O11" s="301">
        <f t="shared" si="8"/>
        <v>0.16690048942273569</v>
      </c>
    </row>
    <row r="12" spans="1:16" ht="18.5" x14ac:dyDescent="0.45">
      <c r="A12" s="302" t="s">
        <v>166</v>
      </c>
      <c r="B12" s="294">
        <v>184852245</v>
      </c>
      <c r="C12" s="294"/>
      <c r="D12" s="295">
        <f>'Base $'!N15</f>
        <v>108981888.50591603</v>
      </c>
      <c r="E12" s="296">
        <f t="shared" si="4"/>
        <v>0.52309223474191513</v>
      </c>
      <c r="F12" s="295">
        <f>'Supplement $'!E13</f>
        <v>45111732.08321999</v>
      </c>
      <c r="G12" s="296">
        <f t="shared" si="5"/>
        <v>0.21652769163757984</v>
      </c>
      <c r="H12" s="297">
        <f>'Success $'!R13</f>
        <v>54248008.798051998</v>
      </c>
      <c r="I12" s="298">
        <f t="shared" si="6"/>
        <v>0.26038007362050508</v>
      </c>
      <c r="J12" s="295">
        <f t="shared" si="0"/>
        <v>208341629.38718802</v>
      </c>
      <c r="K12" s="297">
        <f t="shared" si="1"/>
        <v>0</v>
      </c>
      <c r="L12" s="297">
        <f t="shared" si="2"/>
        <v>0</v>
      </c>
      <c r="M12" s="299">
        <f t="shared" si="3"/>
        <v>208341629.38718802</v>
      </c>
      <c r="N12" s="300">
        <f t="shared" si="7"/>
        <v>23489384.387188017</v>
      </c>
      <c r="O12" s="301">
        <f t="shared" si="8"/>
        <v>0.12707113395992575</v>
      </c>
    </row>
    <row r="13" spans="1:16" ht="21" x14ac:dyDescent="0.45">
      <c r="A13" s="302" t="s">
        <v>554</v>
      </c>
      <c r="B13" s="294">
        <v>36634660</v>
      </c>
      <c r="C13" s="294"/>
      <c r="D13" s="295">
        <f>'Base $'!N16</f>
        <v>22264874.183329567</v>
      </c>
      <c r="E13" s="296">
        <f t="shared" si="4"/>
        <v>0.60993615847437266</v>
      </c>
      <c r="F13" s="295">
        <f>'Supplement $'!E14</f>
        <v>9374136.0669183247</v>
      </c>
      <c r="G13" s="296">
        <f t="shared" si="5"/>
        <v>0.25680021789448054</v>
      </c>
      <c r="H13" s="297">
        <f>'Success $'!R14</f>
        <v>4864603.8968793722</v>
      </c>
      <c r="I13" s="298">
        <f t="shared" si="6"/>
        <v>0.13326362363114677</v>
      </c>
      <c r="J13" s="295">
        <f>D13+F13+H13</f>
        <v>36503614.147127263</v>
      </c>
      <c r="K13" s="297">
        <v>0</v>
      </c>
      <c r="L13" s="297">
        <f>IF(Allocations!J13&gt;(Allocations!B13*(1+Allocations!D29)),0,Allocations!B13*MacroInformation!D29)</f>
        <v>992799.28599999996</v>
      </c>
      <c r="M13" s="299">
        <f>B13+L13</f>
        <v>37627459.285999998</v>
      </c>
      <c r="N13" s="300">
        <f t="shared" si="7"/>
        <v>992799.28599999845</v>
      </c>
      <c r="O13" s="301">
        <f t="shared" si="8"/>
        <v>2.7099999999999957E-2</v>
      </c>
      <c r="P13" s="200"/>
    </row>
    <row r="14" spans="1:16" ht="18.5" x14ac:dyDescent="0.45">
      <c r="A14" s="302" t="s">
        <v>168</v>
      </c>
      <c r="B14" s="294">
        <v>166240061</v>
      </c>
      <c r="C14" s="294"/>
      <c r="D14" s="295">
        <f>'Base $'!N17</f>
        <v>97826328.065395609</v>
      </c>
      <c r="E14" s="296">
        <f t="shared" si="4"/>
        <v>0.60527238893881707</v>
      </c>
      <c r="F14" s="295">
        <f>'Supplement $'!E15</f>
        <v>28594378.610892706</v>
      </c>
      <c r="G14" s="296">
        <f t="shared" si="5"/>
        <v>0.17691952866171445</v>
      </c>
      <c r="H14" s="297">
        <f>'Success $'!R15</f>
        <v>35202935.593116827</v>
      </c>
      <c r="I14" s="298">
        <f t="shared" si="6"/>
        <v>0.21780808239946858</v>
      </c>
      <c r="J14" s="295">
        <f t="shared" si="0"/>
        <v>161623642.26940513</v>
      </c>
      <c r="K14" s="297">
        <f t="shared" si="1"/>
        <v>-4616418.7305948734</v>
      </c>
      <c r="L14" s="297">
        <f t="shared" ref="L14:L30" si="9">IF(((J14-B14)/B14)&lt;0,(0.0271*B14),IF(((J14-B14)/B14)&lt;0.027,((0.0271-(J14-B14)/B14)*B14),0))</f>
        <v>4505105.6530999998</v>
      </c>
      <c r="M14" s="299">
        <f t="shared" ref="M14:M45" si="10">J14-K14+L14</f>
        <v>170745166.65310001</v>
      </c>
      <c r="N14" s="300">
        <f t="shared" si="7"/>
        <v>4505105.6531000137</v>
      </c>
      <c r="O14" s="301">
        <f t="shared" si="8"/>
        <v>2.7100000000000082E-2</v>
      </c>
    </row>
    <row r="15" spans="1:16" ht="18.5" x14ac:dyDescent="0.45">
      <c r="A15" s="302" t="s">
        <v>169</v>
      </c>
      <c r="B15" s="294">
        <v>12714309</v>
      </c>
      <c r="C15" s="294"/>
      <c r="D15" s="295">
        <f>'Base $'!N18</f>
        <v>9359444.6315104365</v>
      </c>
      <c r="E15" s="296">
        <f t="shared" si="4"/>
        <v>0.6511768003859465</v>
      </c>
      <c r="F15" s="295">
        <f>'Supplement $'!E16</f>
        <v>3103640.4805517429</v>
      </c>
      <c r="G15" s="296">
        <f t="shared" si="5"/>
        <v>0.21593361115357457</v>
      </c>
      <c r="H15" s="297">
        <f>'Success $'!R16</f>
        <v>1910038.4788937324</v>
      </c>
      <c r="I15" s="298">
        <f t="shared" si="6"/>
        <v>0.13288958846047894</v>
      </c>
      <c r="J15" s="295">
        <f t="shared" si="0"/>
        <v>14373123.590955911</v>
      </c>
      <c r="K15" s="297">
        <f t="shared" si="1"/>
        <v>0</v>
      </c>
      <c r="L15" s="297">
        <f t="shared" si="9"/>
        <v>0</v>
      </c>
      <c r="M15" s="299">
        <f t="shared" si="10"/>
        <v>14373123.590955911</v>
      </c>
      <c r="N15" s="300">
        <f t="shared" si="7"/>
        <v>1658814.5909559112</v>
      </c>
      <c r="O15" s="301">
        <f t="shared" si="8"/>
        <v>0.13046832438600567</v>
      </c>
    </row>
    <row r="16" spans="1:16" ht="18.5" x14ac:dyDescent="0.45">
      <c r="A16" s="302" t="s">
        <v>170</v>
      </c>
      <c r="B16" s="294">
        <v>57689085</v>
      </c>
      <c r="C16" s="294"/>
      <c r="D16" s="295">
        <f>'Base $'!N19</f>
        <v>38101898.593916714</v>
      </c>
      <c r="E16" s="296">
        <f t="shared" si="4"/>
        <v>0.61441303991587115</v>
      </c>
      <c r="F16" s="295">
        <f>'Supplement $'!E17</f>
        <v>14093937.96392953</v>
      </c>
      <c r="G16" s="296">
        <f t="shared" si="5"/>
        <v>0.2272721199826564</v>
      </c>
      <c r="H16" s="297">
        <f>'Success $'!R17</f>
        <v>9817656.1882286668</v>
      </c>
      <c r="I16" s="298">
        <f t="shared" si="6"/>
        <v>0.15831484010147237</v>
      </c>
      <c r="J16" s="295">
        <f t="shared" si="0"/>
        <v>62013492.746074915</v>
      </c>
      <c r="K16" s="297">
        <f t="shared" si="1"/>
        <v>0</v>
      </c>
      <c r="L16" s="297">
        <f t="shared" si="9"/>
        <v>0</v>
      </c>
      <c r="M16" s="299">
        <f t="shared" si="10"/>
        <v>62013492.746074915</v>
      </c>
      <c r="N16" s="300">
        <f t="shared" si="7"/>
        <v>4324407.7460749149</v>
      </c>
      <c r="O16" s="301">
        <f t="shared" si="8"/>
        <v>7.4960588230423744E-2</v>
      </c>
    </row>
    <row r="17" spans="1:15" ht="18.5" x14ac:dyDescent="0.45">
      <c r="A17" s="302" t="s">
        <v>171</v>
      </c>
      <c r="B17" s="294">
        <v>114075864</v>
      </c>
      <c r="C17" s="294"/>
      <c r="D17" s="295">
        <f>'Base $'!N20</f>
        <v>67438301.374666244</v>
      </c>
      <c r="E17" s="296">
        <f t="shared" si="4"/>
        <v>0.5698088907046519</v>
      </c>
      <c r="F17" s="295">
        <f>'Supplement $'!E18</f>
        <v>27880048.354899675</v>
      </c>
      <c r="G17" s="296">
        <f t="shared" si="5"/>
        <v>0.23556790580530931</v>
      </c>
      <c r="H17" s="297">
        <f>'Success $'!R18</f>
        <v>23034140.859461103</v>
      </c>
      <c r="I17" s="298">
        <f t="shared" si="6"/>
        <v>0.19462320349003875</v>
      </c>
      <c r="J17" s="295">
        <f t="shared" si="0"/>
        <v>118352490.58902702</v>
      </c>
      <c r="K17" s="297">
        <f t="shared" si="1"/>
        <v>0</v>
      </c>
      <c r="L17" s="297">
        <f t="shared" si="9"/>
        <v>0</v>
      </c>
      <c r="M17" s="299">
        <f t="shared" si="10"/>
        <v>118352490.58902702</v>
      </c>
      <c r="N17" s="300">
        <f t="shared" si="7"/>
        <v>4276626.5890270174</v>
      </c>
      <c r="O17" s="301">
        <f t="shared" si="8"/>
        <v>3.748932016878713E-2</v>
      </c>
    </row>
    <row r="18" spans="1:15" ht="18.5" x14ac:dyDescent="0.45">
      <c r="A18" s="302" t="s">
        <v>172</v>
      </c>
      <c r="B18" s="294">
        <v>13507838</v>
      </c>
      <c r="C18" s="294"/>
      <c r="D18" s="295">
        <f>'Base $'!N21</f>
        <v>10777510.947185911</v>
      </c>
      <c r="E18" s="296">
        <f t="shared" si="4"/>
        <v>0.73643887960486254</v>
      </c>
      <c r="F18" s="295">
        <f>'Supplement $'!E19</f>
        <v>2148399.7253041491</v>
      </c>
      <c r="G18" s="296">
        <f t="shared" si="5"/>
        <v>0.1468024569308832</v>
      </c>
      <c r="H18" s="297">
        <f>'Success $'!R19</f>
        <v>1708719.9067218916</v>
      </c>
      <c r="I18" s="298">
        <f t="shared" si="6"/>
        <v>0.11675866346425419</v>
      </c>
      <c r="J18" s="295">
        <f t="shared" si="0"/>
        <v>14634630.579211952</v>
      </c>
      <c r="K18" s="297">
        <f t="shared" si="1"/>
        <v>0</v>
      </c>
      <c r="L18" s="297">
        <f t="shared" si="9"/>
        <v>0</v>
      </c>
      <c r="M18" s="299">
        <f t="shared" si="10"/>
        <v>14634630.579211952</v>
      </c>
      <c r="N18" s="300">
        <f t="shared" si="7"/>
        <v>1126792.5792119522</v>
      </c>
      <c r="O18" s="301">
        <f t="shared" si="8"/>
        <v>8.3417685288493401E-2</v>
      </c>
    </row>
    <row r="19" spans="1:15" ht="18.5" x14ac:dyDescent="0.45">
      <c r="A19" s="302" t="s">
        <v>173</v>
      </c>
      <c r="B19" s="294">
        <v>147883707</v>
      </c>
      <c r="C19" s="294"/>
      <c r="D19" s="295">
        <f>'Base $'!N22</f>
        <v>89243542.426458955</v>
      </c>
      <c r="E19" s="296">
        <f t="shared" si="4"/>
        <v>0.65161607834557267</v>
      </c>
      <c r="F19" s="295">
        <f>'Supplement $'!E20</f>
        <v>13910612.837376241</v>
      </c>
      <c r="G19" s="296">
        <f t="shared" si="5"/>
        <v>0.10156901819472459</v>
      </c>
      <c r="H19" s="297">
        <f>'Success $'!R20</f>
        <v>33803089.02799499</v>
      </c>
      <c r="I19" s="298">
        <f t="shared" si="6"/>
        <v>0.24681490345970275</v>
      </c>
      <c r="J19" s="295">
        <f t="shared" si="0"/>
        <v>136957244.29183018</v>
      </c>
      <c r="K19" s="297">
        <f t="shared" si="1"/>
        <v>-10926462.708169818</v>
      </c>
      <c r="L19" s="297">
        <f t="shared" si="9"/>
        <v>4007648.4597</v>
      </c>
      <c r="M19" s="299">
        <f t="shared" si="10"/>
        <v>151891355.45969999</v>
      </c>
      <c r="N19" s="300">
        <f t="shared" si="7"/>
        <v>4007648.4596999884</v>
      </c>
      <c r="O19" s="301">
        <f t="shared" si="8"/>
        <v>2.7099999999999923E-2</v>
      </c>
    </row>
    <row r="20" spans="1:15" ht="18.5" x14ac:dyDescent="0.45">
      <c r="A20" s="302" t="s">
        <v>174</v>
      </c>
      <c r="B20" s="294">
        <v>32622846</v>
      </c>
      <c r="C20" s="294"/>
      <c r="D20" s="295">
        <f>'Base $'!N23</f>
        <v>22239582.191604592</v>
      </c>
      <c r="E20" s="296">
        <f t="shared" si="4"/>
        <v>0.6412977288992413</v>
      </c>
      <c r="F20" s="295">
        <f>'Supplement $'!E21</f>
        <v>4687890.1417824011</v>
      </c>
      <c r="G20" s="296">
        <f t="shared" si="5"/>
        <v>0.13517939659806569</v>
      </c>
      <c r="H20" s="297">
        <f>'Success $'!R21</f>
        <v>7751556.1262612818</v>
      </c>
      <c r="I20" s="298">
        <f t="shared" si="6"/>
        <v>0.22352287450269304</v>
      </c>
      <c r="J20" s="295">
        <f t="shared" si="0"/>
        <v>34679028.459648274</v>
      </c>
      <c r="K20" s="297">
        <f t="shared" si="1"/>
        <v>0</v>
      </c>
      <c r="L20" s="297">
        <f t="shared" si="9"/>
        <v>0</v>
      </c>
      <c r="M20" s="299">
        <f t="shared" si="10"/>
        <v>34679028.459648274</v>
      </c>
      <c r="N20" s="300">
        <f t="shared" si="7"/>
        <v>2056182.4596482739</v>
      </c>
      <c r="O20" s="301">
        <f t="shared" si="8"/>
        <v>6.3028911078091526E-2</v>
      </c>
    </row>
    <row r="21" spans="1:15" ht="18.5" x14ac:dyDescent="0.45">
      <c r="A21" s="302" t="s">
        <v>175</v>
      </c>
      <c r="B21" s="294">
        <v>88201770</v>
      </c>
      <c r="C21" s="294"/>
      <c r="D21" s="295">
        <f>'Base $'!N24</f>
        <v>59618277.345017895</v>
      </c>
      <c r="E21" s="296">
        <f t="shared" si="4"/>
        <v>0.64644857166322145</v>
      </c>
      <c r="F21" s="295">
        <f>'Supplement $'!E22</f>
        <v>19780813.443657383</v>
      </c>
      <c r="G21" s="296">
        <f t="shared" si="5"/>
        <v>0.21448587860040805</v>
      </c>
      <c r="H21" s="297">
        <f>'Success $'!R22</f>
        <v>12825225.202353105</v>
      </c>
      <c r="I21" s="298">
        <f t="shared" si="6"/>
        <v>0.13906554973637048</v>
      </c>
      <c r="J21" s="295">
        <f t="shared" si="0"/>
        <v>92224315.991028383</v>
      </c>
      <c r="K21" s="297">
        <f t="shared" si="1"/>
        <v>0</v>
      </c>
      <c r="L21" s="297">
        <f t="shared" si="9"/>
        <v>0</v>
      </c>
      <c r="M21" s="299">
        <f t="shared" si="10"/>
        <v>92224315.991028383</v>
      </c>
      <c r="N21" s="300">
        <f t="shared" si="7"/>
        <v>4022545.9910283834</v>
      </c>
      <c r="O21" s="301">
        <f t="shared" si="8"/>
        <v>4.5606182177844998E-2</v>
      </c>
    </row>
    <row r="22" spans="1:15" ht="18.5" x14ac:dyDescent="0.45">
      <c r="A22" s="302" t="s">
        <v>176</v>
      </c>
      <c r="B22" s="294">
        <v>109366314</v>
      </c>
      <c r="C22" s="294"/>
      <c r="D22" s="295">
        <f>'Base $'!N25</f>
        <v>65390972.567562506</v>
      </c>
      <c r="E22" s="296">
        <f t="shared" si="4"/>
        <v>0.55183713318363081</v>
      </c>
      <c r="F22" s="295">
        <f>'Supplement $'!E23</f>
        <v>27122409.842417419</v>
      </c>
      <c r="G22" s="296">
        <f t="shared" si="5"/>
        <v>0.22888714305337685</v>
      </c>
      <c r="H22" s="297">
        <f>'Success $'!R23</f>
        <v>25983486.74833899</v>
      </c>
      <c r="I22" s="298">
        <f t="shared" si="6"/>
        <v>0.2192757237629924</v>
      </c>
      <c r="J22" s="295">
        <f t="shared" si="0"/>
        <v>118496869.15831891</v>
      </c>
      <c r="K22" s="297">
        <f t="shared" si="1"/>
        <v>0</v>
      </c>
      <c r="L22" s="297">
        <f t="shared" si="9"/>
        <v>0</v>
      </c>
      <c r="M22" s="299">
        <f t="shared" si="10"/>
        <v>118496869.15831891</v>
      </c>
      <c r="N22" s="300">
        <f t="shared" si="7"/>
        <v>9130555.158318907</v>
      </c>
      <c r="O22" s="301">
        <f t="shared" si="8"/>
        <v>8.3485991475573618E-2</v>
      </c>
    </row>
    <row r="23" spans="1:15" ht="18.5" x14ac:dyDescent="0.45">
      <c r="A23" s="302" t="s">
        <v>177</v>
      </c>
      <c r="B23" s="294">
        <v>43047457</v>
      </c>
      <c r="C23" s="294"/>
      <c r="D23" s="295">
        <f>'Base $'!N26</f>
        <v>26013012.983195174</v>
      </c>
      <c r="E23" s="296">
        <f t="shared" si="4"/>
        <v>0.54446964444807744</v>
      </c>
      <c r="F23" s="295">
        <f>'Supplement $'!E24</f>
        <v>9971141.6168778427</v>
      </c>
      <c r="G23" s="296">
        <f t="shared" si="5"/>
        <v>0.20870261873894111</v>
      </c>
      <c r="H23" s="297">
        <f>'Success $'!R24</f>
        <v>11792637.455183363</v>
      </c>
      <c r="I23" s="298">
        <f t="shared" si="6"/>
        <v>0.2468277368129814</v>
      </c>
      <c r="J23" s="295">
        <f t="shared" si="0"/>
        <v>47776792.055256382</v>
      </c>
      <c r="K23" s="297">
        <f t="shared" si="1"/>
        <v>0</v>
      </c>
      <c r="L23" s="297">
        <f t="shared" si="9"/>
        <v>0</v>
      </c>
      <c r="M23" s="299">
        <f t="shared" si="10"/>
        <v>47776792.055256382</v>
      </c>
      <c r="N23" s="300">
        <f t="shared" si="7"/>
        <v>4729335.0552563816</v>
      </c>
      <c r="O23" s="301">
        <f t="shared" si="8"/>
        <v>0.10986328542604461</v>
      </c>
    </row>
    <row r="24" spans="1:15" ht="18.5" x14ac:dyDescent="0.45">
      <c r="A24" s="302" t="s">
        <v>178</v>
      </c>
      <c r="B24" s="294">
        <v>41170072</v>
      </c>
      <c r="C24" s="294"/>
      <c r="D24" s="295">
        <f>'Base $'!N27</f>
        <v>25742188.404758863</v>
      </c>
      <c r="E24" s="296">
        <f t="shared" si="4"/>
        <v>0.51373988517978042</v>
      </c>
      <c r="F24" s="295">
        <f>'Supplement $'!E25</f>
        <v>12429957.496380145</v>
      </c>
      <c r="G24" s="296">
        <f t="shared" si="5"/>
        <v>0.2480661254036729</v>
      </c>
      <c r="H24" s="297">
        <f>'Success $'!R25</f>
        <v>11935290.074462788</v>
      </c>
      <c r="I24" s="298">
        <f t="shared" si="6"/>
        <v>0.23819398941654676</v>
      </c>
      <c r="J24" s="295">
        <f t="shared" si="0"/>
        <v>50107435.975601792</v>
      </c>
      <c r="K24" s="297">
        <f t="shared" si="1"/>
        <v>0</v>
      </c>
      <c r="L24" s="297">
        <f t="shared" si="9"/>
        <v>0</v>
      </c>
      <c r="M24" s="299">
        <f t="shared" si="10"/>
        <v>50107435.975601792</v>
      </c>
      <c r="N24" s="300">
        <f t="shared" si="7"/>
        <v>8937363.9756017923</v>
      </c>
      <c r="O24" s="301">
        <f t="shared" si="8"/>
        <v>0.21708400159226809</v>
      </c>
    </row>
    <row r="25" spans="1:15" ht="18.5" x14ac:dyDescent="0.45">
      <c r="A25" s="302" t="s">
        <v>179</v>
      </c>
      <c r="B25" s="294">
        <v>132978576</v>
      </c>
      <c r="C25" s="294"/>
      <c r="D25" s="295">
        <f>'Base $'!N28</f>
        <v>86084195.937335402</v>
      </c>
      <c r="E25" s="296">
        <f t="shared" si="4"/>
        <v>0.58978655231278687</v>
      </c>
      <c r="F25" s="295">
        <f>'Supplement $'!E26</f>
        <v>34314246.222255647</v>
      </c>
      <c r="G25" s="296">
        <f t="shared" si="5"/>
        <v>0.23509635833002898</v>
      </c>
      <c r="H25" s="297">
        <f>'Success $'!R26</f>
        <v>25559778.826908477</v>
      </c>
      <c r="I25" s="298">
        <f t="shared" si="6"/>
        <v>0.1751170893571842</v>
      </c>
      <c r="J25" s="295">
        <f t="shared" si="0"/>
        <v>145958220.98649952</v>
      </c>
      <c r="K25" s="297">
        <f t="shared" si="1"/>
        <v>0</v>
      </c>
      <c r="L25" s="297">
        <f t="shared" si="9"/>
        <v>0</v>
      </c>
      <c r="M25" s="299">
        <f t="shared" si="10"/>
        <v>145958220.98649952</v>
      </c>
      <c r="N25" s="300">
        <f t="shared" si="7"/>
        <v>12979644.986499518</v>
      </c>
      <c r="O25" s="301">
        <f t="shared" si="8"/>
        <v>9.7607038493926407E-2</v>
      </c>
    </row>
    <row r="26" spans="1:15" ht="18.5" x14ac:dyDescent="0.45">
      <c r="A26" s="302" t="s">
        <v>180</v>
      </c>
      <c r="B26" s="294">
        <v>14309803</v>
      </c>
      <c r="C26" s="294"/>
      <c r="D26" s="295">
        <f>'Base $'!N29</f>
        <v>12045910.618002687</v>
      </c>
      <c r="E26" s="296">
        <f t="shared" si="4"/>
        <v>0.71452477188179797</v>
      </c>
      <c r="F26" s="295">
        <f>'Supplement $'!E27</f>
        <v>2784597.101590327</v>
      </c>
      <c r="G26" s="296">
        <f t="shared" si="5"/>
        <v>0.16517336645541597</v>
      </c>
      <c r="H26" s="297">
        <f>'Success $'!R27</f>
        <v>2028124.8877526305</v>
      </c>
      <c r="I26" s="298">
        <f t="shared" si="6"/>
        <v>0.12030186166278609</v>
      </c>
      <c r="J26" s="295">
        <f t="shared" si="0"/>
        <v>16858632.607345644</v>
      </c>
      <c r="K26" s="297">
        <f t="shared" si="1"/>
        <v>0</v>
      </c>
      <c r="L26" s="297">
        <f t="shared" si="9"/>
        <v>0</v>
      </c>
      <c r="M26" s="299">
        <f t="shared" si="10"/>
        <v>16858632.607345644</v>
      </c>
      <c r="N26" s="300">
        <f t="shared" si="7"/>
        <v>2548829.6073456444</v>
      </c>
      <c r="O26" s="301">
        <f t="shared" si="8"/>
        <v>0.17811772861902042</v>
      </c>
    </row>
    <row r="27" spans="1:15" ht="18.5" x14ac:dyDescent="0.45">
      <c r="A27" s="302" t="s">
        <v>181</v>
      </c>
      <c r="B27" s="294">
        <v>13422246</v>
      </c>
      <c r="C27" s="294"/>
      <c r="D27" s="295">
        <f>'Base $'!N30</f>
        <v>10772347.608017867</v>
      </c>
      <c r="E27" s="296">
        <f t="shared" si="4"/>
        <v>0.63942873198293726</v>
      </c>
      <c r="F27" s="295">
        <f>'Supplement $'!E28</f>
        <v>3804630.4929729374</v>
      </c>
      <c r="G27" s="296">
        <f t="shared" si="5"/>
        <v>0.22583657159137488</v>
      </c>
      <c r="H27" s="297">
        <f>'Success $'!R28</f>
        <v>2269852.6233835244</v>
      </c>
      <c r="I27" s="298">
        <f t="shared" si="6"/>
        <v>0.13473469642568772</v>
      </c>
      <c r="J27" s="295">
        <f t="shared" si="0"/>
        <v>16846830.724374332</v>
      </c>
      <c r="K27" s="297">
        <f t="shared" si="1"/>
        <v>0</v>
      </c>
      <c r="L27" s="297">
        <f t="shared" si="9"/>
        <v>0</v>
      </c>
      <c r="M27" s="299">
        <f t="shared" si="10"/>
        <v>16846830.724374332</v>
      </c>
      <c r="N27" s="300">
        <f t="shared" si="7"/>
        <v>3424584.7243743315</v>
      </c>
      <c r="O27" s="301">
        <f t="shared" si="8"/>
        <v>0.255142449659642</v>
      </c>
    </row>
    <row r="28" spans="1:15" ht="18.5" x14ac:dyDescent="0.45">
      <c r="A28" s="302" t="s">
        <v>182</v>
      </c>
      <c r="B28" s="294">
        <v>119094805</v>
      </c>
      <c r="C28" s="294"/>
      <c r="D28" s="295">
        <f>'Base $'!N31</f>
        <v>71034156.808313876</v>
      </c>
      <c r="E28" s="296">
        <f t="shared" si="4"/>
        <v>0.6133615434788553</v>
      </c>
      <c r="F28" s="295">
        <f>'Supplement $'!E29</f>
        <v>26703273.470839337</v>
      </c>
      <c r="G28" s="296">
        <f t="shared" si="5"/>
        <v>0.23057584925249658</v>
      </c>
      <c r="H28" s="297">
        <f>'Success $'!R29</f>
        <v>18073803.019601319</v>
      </c>
      <c r="I28" s="298">
        <f t="shared" si="6"/>
        <v>0.15606260726864818</v>
      </c>
      <c r="J28" s="295">
        <f t="shared" si="0"/>
        <v>115811233.29875453</v>
      </c>
      <c r="K28" s="297">
        <f t="shared" si="1"/>
        <v>-3283571.7012454718</v>
      </c>
      <c r="L28" s="297">
        <f t="shared" si="9"/>
        <v>3227469.2154999999</v>
      </c>
      <c r="M28" s="299">
        <f t="shared" si="10"/>
        <v>122322274.2155</v>
      </c>
      <c r="N28" s="300">
        <f t="shared" si="7"/>
        <v>3227469.2154999971</v>
      </c>
      <c r="O28" s="301">
        <f t="shared" si="8"/>
        <v>2.7099999999999975E-2</v>
      </c>
    </row>
    <row r="29" spans="1:15" ht="18.5" x14ac:dyDescent="0.45">
      <c r="A29" s="302" t="s">
        <v>183</v>
      </c>
      <c r="B29" s="294">
        <v>605758759</v>
      </c>
      <c r="C29" s="294"/>
      <c r="D29" s="295">
        <f>'Base $'!N32</f>
        <v>388039256.93652952</v>
      </c>
      <c r="E29" s="296">
        <f t="shared" si="4"/>
        <v>0.57277073466379747</v>
      </c>
      <c r="F29" s="295">
        <f>'Supplement $'!E30</f>
        <v>155207242.19936678</v>
      </c>
      <c r="G29" s="296">
        <f t="shared" si="5"/>
        <v>0.22909580551591993</v>
      </c>
      <c r="H29" s="297">
        <f>'Success $'!R30</f>
        <v>134230951.18163636</v>
      </c>
      <c r="I29" s="298">
        <f t="shared" si="6"/>
        <v>0.1981334598202826</v>
      </c>
      <c r="J29" s="295">
        <f t="shared" si="0"/>
        <v>677477450.31753266</v>
      </c>
      <c r="K29" s="297">
        <f t="shared" si="1"/>
        <v>0</v>
      </c>
      <c r="L29" s="297">
        <f t="shared" si="9"/>
        <v>0</v>
      </c>
      <c r="M29" s="299">
        <f t="shared" si="10"/>
        <v>677477450.31753266</v>
      </c>
      <c r="N29" s="300">
        <f t="shared" si="7"/>
        <v>71718691.317532659</v>
      </c>
      <c r="O29" s="301">
        <f t="shared" si="8"/>
        <v>0.11839480692929222</v>
      </c>
    </row>
    <row r="30" spans="1:15" ht="18.5" x14ac:dyDescent="0.45">
      <c r="A30" s="302" t="s">
        <v>184</v>
      </c>
      <c r="B30" s="294">
        <v>303898408</v>
      </c>
      <c r="C30" s="294"/>
      <c r="D30" s="295">
        <f>'Base $'!N33</f>
        <v>176364672.8384195</v>
      </c>
      <c r="E30" s="296">
        <f t="shared" si="4"/>
        <v>0.56910256287200378</v>
      </c>
      <c r="F30" s="295">
        <f>'Supplement $'!E31</f>
        <v>70537553.061366051</v>
      </c>
      <c r="G30" s="296">
        <f t="shared" si="5"/>
        <v>0.22761419041511441</v>
      </c>
      <c r="H30" s="297">
        <f>'Success $'!R31</f>
        <v>62997402.645878695</v>
      </c>
      <c r="I30" s="298">
        <f t="shared" si="6"/>
        <v>0.20328324671288181</v>
      </c>
      <c r="J30" s="295">
        <f t="shared" si="0"/>
        <v>309899628.54566425</v>
      </c>
      <c r="K30" s="297">
        <f t="shared" si="1"/>
        <v>0</v>
      </c>
      <c r="L30" s="297">
        <f t="shared" si="9"/>
        <v>2234426.3111357493</v>
      </c>
      <c r="M30" s="299">
        <f t="shared" si="10"/>
        <v>312134054.85680002</v>
      </c>
      <c r="N30" s="300">
        <f t="shared" si="7"/>
        <v>8235646.8568000197</v>
      </c>
      <c r="O30" s="301">
        <f t="shared" si="8"/>
        <v>2.7100000000000065E-2</v>
      </c>
    </row>
    <row r="31" spans="1:15" ht="21" x14ac:dyDescent="0.45">
      <c r="A31" s="302" t="s">
        <v>555</v>
      </c>
      <c r="B31" s="294">
        <v>25602279</v>
      </c>
      <c r="C31" s="294"/>
      <c r="D31" s="295">
        <f>'Base $'!N34</f>
        <v>15990698.389985077</v>
      </c>
      <c r="E31" s="296">
        <f t="shared" si="4"/>
        <v>0.70246907407667203</v>
      </c>
      <c r="F31" s="295">
        <f>'Supplement $'!E32</f>
        <v>3708437.1117798891</v>
      </c>
      <c r="G31" s="296">
        <f t="shared" si="5"/>
        <v>0.16291110748578241</v>
      </c>
      <c r="H31" s="297">
        <f>'Success $'!R32</f>
        <v>3064426.5966851455</v>
      </c>
      <c r="I31" s="298">
        <f t="shared" si="6"/>
        <v>0.13461981843754545</v>
      </c>
      <c r="J31" s="295">
        <f t="shared" si="0"/>
        <v>22763562.098450113</v>
      </c>
      <c r="K31" s="297">
        <f t="shared" si="1"/>
        <v>-2838716.9015498869</v>
      </c>
      <c r="L31" s="297"/>
      <c r="M31" s="299">
        <f t="shared" si="10"/>
        <v>25602279</v>
      </c>
      <c r="N31" s="300">
        <f t="shared" si="7"/>
        <v>0</v>
      </c>
      <c r="O31" s="301">
        <f t="shared" si="8"/>
        <v>0</v>
      </c>
    </row>
    <row r="32" spans="1:15" ht="18.5" x14ac:dyDescent="0.45">
      <c r="A32" s="302" t="s">
        <v>186</v>
      </c>
      <c r="B32" s="294">
        <v>22134847</v>
      </c>
      <c r="C32" s="294"/>
      <c r="D32" s="295">
        <f>'Base $'!N35</f>
        <v>15874239.770161306</v>
      </c>
      <c r="E32" s="296">
        <f t="shared" si="4"/>
        <v>0.65942199780894728</v>
      </c>
      <c r="F32" s="295">
        <f>'Supplement $'!E33</f>
        <v>4722077.1697256323</v>
      </c>
      <c r="G32" s="296">
        <f t="shared" si="5"/>
        <v>0.19615689356800325</v>
      </c>
      <c r="H32" s="297">
        <f>'Success $'!R33</f>
        <v>3476643.657282149</v>
      </c>
      <c r="I32" s="298">
        <f t="shared" si="6"/>
        <v>0.14442110862304958</v>
      </c>
      <c r="J32" s="295">
        <f t="shared" si="0"/>
        <v>24072960.597169086</v>
      </c>
      <c r="K32" s="297">
        <f t="shared" si="1"/>
        <v>0</v>
      </c>
      <c r="L32" s="297">
        <f t="shared" ref="L32:L50" si="11">IF(((J32-B32)/B32)&lt;0,(0.0271*B32),IF(((J32-B32)/B32)&lt;0.027,((0.0271-(J32-B32)/B32)*B32),0))</f>
        <v>0</v>
      </c>
      <c r="M32" s="299">
        <f t="shared" si="10"/>
        <v>24072960.597169086</v>
      </c>
      <c r="N32" s="300">
        <f t="shared" si="7"/>
        <v>1938113.5971690863</v>
      </c>
      <c r="O32" s="301">
        <f t="shared" si="8"/>
        <v>8.7559385306303958E-2</v>
      </c>
    </row>
    <row r="33" spans="1:15" ht="18.5" x14ac:dyDescent="0.45">
      <c r="A33" s="302" t="s">
        <v>187</v>
      </c>
      <c r="B33" s="294">
        <v>56484964</v>
      </c>
      <c r="C33" s="294"/>
      <c r="D33" s="295">
        <f>'Base $'!N36</f>
        <v>36860434.191189826</v>
      </c>
      <c r="E33" s="296">
        <f t="shared" si="4"/>
        <v>0.595648892329114</v>
      </c>
      <c r="F33" s="295">
        <f>'Supplement $'!E34</f>
        <v>12657109.997651022</v>
      </c>
      <c r="G33" s="296">
        <f t="shared" si="5"/>
        <v>0.20453349819711464</v>
      </c>
      <c r="H33" s="297">
        <f>'Success $'!R34</f>
        <v>12365277.496695537</v>
      </c>
      <c r="I33" s="298">
        <f t="shared" si="6"/>
        <v>0.19981760947377133</v>
      </c>
      <c r="J33" s="295">
        <f t="shared" si="0"/>
        <v>61882821.685536385</v>
      </c>
      <c r="K33" s="297">
        <f t="shared" si="1"/>
        <v>0</v>
      </c>
      <c r="L33" s="297">
        <f t="shared" si="11"/>
        <v>0</v>
      </c>
      <c r="M33" s="299">
        <f t="shared" si="10"/>
        <v>61882821.685536385</v>
      </c>
      <c r="N33" s="300">
        <f t="shared" si="7"/>
        <v>5397857.6855363846</v>
      </c>
      <c r="O33" s="301">
        <f t="shared" si="8"/>
        <v>9.5562735696111706E-2</v>
      </c>
    </row>
    <row r="34" spans="1:15" ht="21" x14ac:dyDescent="0.45">
      <c r="A34" s="302" t="s">
        <v>556</v>
      </c>
      <c r="B34" s="294">
        <v>63527213</v>
      </c>
      <c r="C34" s="294"/>
      <c r="D34" s="295">
        <f>'Base $'!N37</f>
        <v>39636079.386406608</v>
      </c>
      <c r="E34" s="296">
        <f t="shared" si="4"/>
        <v>0.572379790432896</v>
      </c>
      <c r="F34" s="295">
        <f>'Supplement $'!E35</f>
        <v>15586475.873264167</v>
      </c>
      <c r="G34" s="296">
        <f t="shared" si="5"/>
        <v>0.22508239795750248</v>
      </c>
      <c r="H34" s="297">
        <f>'Success $'!R35</f>
        <v>14025311.364742154</v>
      </c>
      <c r="I34" s="298">
        <f t="shared" si="6"/>
        <v>0.20253781160960144</v>
      </c>
      <c r="J34" s="295">
        <f t="shared" si="0"/>
        <v>69247866.624412939</v>
      </c>
      <c r="K34" s="297">
        <f t="shared" si="1"/>
        <v>0</v>
      </c>
      <c r="L34" s="297">
        <f t="shared" si="11"/>
        <v>0</v>
      </c>
      <c r="M34" s="299">
        <f t="shared" si="10"/>
        <v>69247866.624412939</v>
      </c>
      <c r="N34" s="300">
        <f t="shared" si="7"/>
        <v>5720653.624412939</v>
      </c>
      <c r="O34" s="301">
        <f t="shared" si="8"/>
        <v>9.0050442231944583E-2</v>
      </c>
    </row>
    <row r="35" spans="1:15" ht="18.5" x14ac:dyDescent="0.45">
      <c r="A35" s="302" t="s">
        <v>189</v>
      </c>
      <c r="B35" s="294">
        <v>38872008</v>
      </c>
      <c r="C35" s="294"/>
      <c r="D35" s="295">
        <f>'Base $'!N38</f>
        <v>24412485.247814637</v>
      </c>
      <c r="E35" s="296">
        <f t="shared" si="4"/>
        <v>0.66598068230034269</v>
      </c>
      <c r="F35" s="295">
        <f>'Supplement $'!E36</f>
        <v>5263718.3780267062</v>
      </c>
      <c r="G35" s="296">
        <f t="shared" si="5"/>
        <v>0.14359598055052131</v>
      </c>
      <c r="H35" s="297">
        <f>'Success $'!R36</f>
        <v>6980242.8697120268</v>
      </c>
      <c r="I35" s="298">
        <f t="shared" si="6"/>
        <v>0.19042333714913609</v>
      </c>
      <c r="J35" s="295">
        <f t="shared" ref="J35:J66" si="12">D35+F35+H35</f>
        <v>36656446.495553367</v>
      </c>
      <c r="K35" s="297">
        <f t="shared" ref="K35:K66" si="13">IF((J35-B35)&lt;0, (J35-B35),0)</f>
        <v>-2215561.5044466332</v>
      </c>
      <c r="L35" s="297">
        <f t="shared" si="11"/>
        <v>1053431.4168</v>
      </c>
      <c r="M35" s="299">
        <f t="shared" si="10"/>
        <v>39925439.4168</v>
      </c>
      <c r="N35" s="300">
        <f t="shared" si="7"/>
        <v>1053431.4167999998</v>
      </c>
      <c r="O35" s="301">
        <f t="shared" si="8"/>
        <v>2.7099999999999996E-2</v>
      </c>
    </row>
    <row r="36" spans="1:15" s="280" customFormat="1" ht="18.5" x14ac:dyDescent="0.45">
      <c r="A36" s="303" t="s">
        <v>190</v>
      </c>
      <c r="B36" s="304">
        <v>177811661</v>
      </c>
      <c r="C36" s="304"/>
      <c r="D36" s="305">
        <f>'Base $'!N39</f>
        <v>124319397.018967</v>
      </c>
      <c r="E36" s="306">
        <f t="shared" si="4"/>
        <v>0.68004377180074838</v>
      </c>
      <c r="F36" s="305">
        <f>'Supplement $'!E37</f>
        <v>33281501.870943476</v>
      </c>
      <c r="G36" s="306">
        <f t="shared" si="5"/>
        <v>0.18205427798251822</v>
      </c>
      <c r="H36" s="307">
        <f>'Success $'!R37</f>
        <v>25209976.195042666</v>
      </c>
      <c r="I36" s="308">
        <f t="shared" si="6"/>
        <v>0.13790195021673332</v>
      </c>
      <c r="J36" s="305">
        <f t="shared" si="12"/>
        <v>182810875.08495316</v>
      </c>
      <c r="K36" s="307">
        <f t="shared" si="13"/>
        <v>0</v>
      </c>
      <c r="L36" s="307">
        <f t="shared" si="11"/>
        <v>0</v>
      </c>
      <c r="M36" s="309">
        <f t="shared" si="10"/>
        <v>182810875.08495316</v>
      </c>
      <c r="N36" s="310">
        <f t="shared" si="7"/>
        <v>4999214.0849531591</v>
      </c>
      <c r="O36" s="311">
        <f t="shared" si="8"/>
        <v>2.8115220660095849E-2</v>
      </c>
    </row>
    <row r="37" spans="1:15" ht="18.5" x14ac:dyDescent="0.45">
      <c r="A37" s="302" t="s">
        <v>191</v>
      </c>
      <c r="B37" s="294">
        <v>71502946</v>
      </c>
      <c r="C37" s="294"/>
      <c r="D37" s="295">
        <f>'Base $'!N40</f>
        <v>43060854.108328111</v>
      </c>
      <c r="E37" s="296">
        <f t="shared" si="4"/>
        <v>0.55278947757341301</v>
      </c>
      <c r="F37" s="295">
        <f>'Supplement $'!E38</f>
        <v>19907357.051915534</v>
      </c>
      <c r="G37" s="296">
        <f t="shared" si="5"/>
        <v>0.25555873733743395</v>
      </c>
      <c r="H37" s="297">
        <f>'Success $'!R38</f>
        <v>14929172.663617993</v>
      </c>
      <c r="I37" s="298">
        <f t="shared" si="6"/>
        <v>0.19165178508915298</v>
      </c>
      <c r="J37" s="295">
        <f t="shared" si="12"/>
        <v>77897383.823861644</v>
      </c>
      <c r="K37" s="297">
        <f t="shared" si="13"/>
        <v>0</v>
      </c>
      <c r="L37" s="297">
        <f t="shared" si="11"/>
        <v>0</v>
      </c>
      <c r="M37" s="299">
        <f t="shared" si="10"/>
        <v>77897383.823861644</v>
      </c>
      <c r="N37" s="300">
        <f t="shared" si="7"/>
        <v>6394437.8238616437</v>
      </c>
      <c r="O37" s="301">
        <f t="shared" si="8"/>
        <v>8.9429012111775702E-2</v>
      </c>
    </row>
    <row r="38" spans="1:15" ht="18.5" x14ac:dyDescent="0.45">
      <c r="A38" s="302" t="s">
        <v>192</v>
      </c>
      <c r="B38" s="294">
        <v>31613882</v>
      </c>
      <c r="C38" s="294"/>
      <c r="D38" s="295">
        <f>'Base $'!N41</f>
        <v>20884765.379810456</v>
      </c>
      <c r="E38" s="296">
        <f t="shared" si="4"/>
        <v>0.63153037502033293</v>
      </c>
      <c r="F38" s="295">
        <f>'Supplement $'!E39</f>
        <v>4899116.1348379608</v>
      </c>
      <c r="G38" s="296">
        <f t="shared" si="5"/>
        <v>0.14814342386117155</v>
      </c>
      <c r="H38" s="297">
        <f>'Success $'!R39</f>
        <v>7286206.965478994</v>
      </c>
      <c r="I38" s="298">
        <f t="shared" si="6"/>
        <v>0.22032620111849555</v>
      </c>
      <c r="J38" s="295">
        <f t="shared" si="12"/>
        <v>33070088.480127409</v>
      </c>
      <c r="K38" s="297">
        <f t="shared" si="13"/>
        <v>0</v>
      </c>
      <c r="L38" s="297">
        <f t="shared" si="11"/>
        <v>0</v>
      </c>
      <c r="M38" s="299">
        <f t="shared" si="10"/>
        <v>33070088.480127409</v>
      </c>
      <c r="N38" s="300">
        <f t="shared" si="7"/>
        <v>1456206.4801274091</v>
      </c>
      <c r="O38" s="301">
        <f t="shared" si="8"/>
        <v>4.6062248227769345E-2</v>
      </c>
    </row>
    <row r="39" spans="1:15" ht="18.5" x14ac:dyDescent="0.45">
      <c r="A39" s="302" t="s">
        <v>193</v>
      </c>
      <c r="B39" s="294">
        <v>202015331</v>
      </c>
      <c r="C39" s="294"/>
      <c r="D39" s="295">
        <f>'Base $'!N42</f>
        <v>125515915.77339546</v>
      </c>
      <c r="E39" s="296">
        <f t="shared" si="4"/>
        <v>0.65057794962813131</v>
      </c>
      <c r="F39" s="295">
        <f>'Supplement $'!E40</f>
        <v>34688425.444072574</v>
      </c>
      <c r="G39" s="296">
        <f t="shared" si="5"/>
        <v>0.1797981121531719</v>
      </c>
      <c r="H39" s="297">
        <f>'Success $'!R40</f>
        <v>32725523.443853561</v>
      </c>
      <c r="I39" s="298">
        <f t="shared" si="6"/>
        <v>0.16962393821869687</v>
      </c>
      <c r="J39" s="295">
        <f t="shared" si="12"/>
        <v>192929864.66132158</v>
      </c>
      <c r="K39" s="297">
        <f t="shared" si="13"/>
        <v>-9085466.3386784196</v>
      </c>
      <c r="L39" s="297">
        <f t="shared" si="11"/>
        <v>5474615.4700999996</v>
      </c>
      <c r="M39" s="299">
        <f t="shared" si="10"/>
        <v>207489946.47009999</v>
      </c>
      <c r="N39" s="300">
        <f t="shared" si="7"/>
        <v>5474615.4700999856</v>
      </c>
      <c r="O39" s="301">
        <f t="shared" si="8"/>
        <v>2.709999999999993E-2</v>
      </c>
    </row>
    <row r="40" spans="1:15" ht="18.5" x14ac:dyDescent="0.45">
      <c r="A40" s="302" t="s">
        <v>194</v>
      </c>
      <c r="B40" s="294">
        <v>48754594</v>
      </c>
      <c r="C40" s="294"/>
      <c r="D40" s="295">
        <f>'Base $'!N43</f>
        <v>31700728.948572479</v>
      </c>
      <c r="E40" s="296">
        <f t="shared" si="4"/>
        <v>0.69991146162691886</v>
      </c>
      <c r="F40" s="295">
        <f>'Supplement $'!E41</f>
        <v>4880326.408607102</v>
      </c>
      <c r="G40" s="296">
        <f t="shared" si="5"/>
        <v>0.10775135156690036</v>
      </c>
      <c r="H40" s="297">
        <f>'Success $'!R41</f>
        <v>8711429.0306103788</v>
      </c>
      <c r="I40" s="298">
        <f t="shared" si="6"/>
        <v>0.19233718680618064</v>
      </c>
      <c r="J40" s="295">
        <f t="shared" si="12"/>
        <v>45292484.387789965</v>
      </c>
      <c r="K40" s="297">
        <f t="shared" si="13"/>
        <v>-3462109.6122100353</v>
      </c>
      <c r="L40" s="297">
        <f t="shared" si="11"/>
        <v>1321249.4974</v>
      </c>
      <c r="M40" s="299">
        <f t="shared" si="10"/>
        <v>50075843.497400001</v>
      </c>
      <c r="N40" s="300">
        <f t="shared" si="7"/>
        <v>1321249.4974000007</v>
      </c>
      <c r="O40" s="301">
        <f t="shared" si="8"/>
        <v>2.7100000000000013E-2</v>
      </c>
    </row>
    <row r="41" spans="1:15" ht="18.5" x14ac:dyDescent="0.45">
      <c r="A41" s="302" t="s">
        <v>195</v>
      </c>
      <c r="B41" s="294">
        <v>16242040</v>
      </c>
      <c r="C41" s="294"/>
      <c r="D41" s="295">
        <f>'Base $'!N44</f>
        <v>13953525.090993766</v>
      </c>
      <c r="E41" s="296">
        <f t="shared" si="4"/>
        <v>0.67455499490270898</v>
      </c>
      <c r="F41" s="295">
        <f>'Supplement $'!E42</f>
        <v>4849622.7832532329</v>
      </c>
      <c r="G41" s="296">
        <f t="shared" si="5"/>
        <v>0.23444522086744335</v>
      </c>
      <c r="H41" s="297">
        <f>'Success $'!R42</f>
        <v>1882378.4304040845</v>
      </c>
      <c r="I41" s="298">
        <f t="shared" si="6"/>
        <v>9.0999784229847544E-2</v>
      </c>
      <c r="J41" s="295">
        <f t="shared" si="12"/>
        <v>20685526.304651085</v>
      </c>
      <c r="K41" s="297">
        <f t="shared" si="13"/>
        <v>0</v>
      </c>
      <c r="L41" s="297">
        <f t="shared" si="11"/>
        <v>0</v>
      </c>
      <c r="M41" s="299">
        <f t="shared" si="10"/>
        <v>20685526.304651085</v>
      </c>
      <c r="N41" s="300">
        <f t="shared" si="7"/>
        <v>4443486.3046510853</v>
      </c>
      <c r="O41" s="301">
        <f t="shared" si="8"/>
        <v>0.27357932283451375</v>
      </c>
    </row>
    <row r="42" spans="1:15" ht="18.5" x14ac:dyDescent="0.45">
      <c r="A42" s="302" t="s">
        <v>196</v>
      </c>
      <c r="B42" s="294">
        <v>103569866</v>
      </c>
      <c r="C42" s="294"/>
      <c r="D42" s="295">
        <f>'Base $'!N45</f>
        <v>63393773.41542948</v>
      </c>
      <c r="E42" s="296">
        <f t="shared" si="4"/>
        <v>0.64204148406815043</v>
      </c>
      <c r="F42" s="295">
        <f>'Supplement $'!E43</f>
        <v>15420903.16411373</v>
      </c>
      <c r="G42" s="296">
        <f t="shared" si="5"/>
        <v>0.15618031582182224</v>
      </c>
      <c r="H42" s="297">
        <f>'Success $'!R43</f>
        <v>19923138.637238733</v>
      </c>
      <c r="I42" s="298">
        <f t="shared" si="6"/>
        <v>0.20177820011002737</v>
      </c>
      <c r="J42" s="295">
        <f t="shared" si="12"/>
        <v>98737815.216781944</v>
      </c>
      <c r="K42" s="297">
        <f t="shared" si="13"/>
        <v>-4832050.783218056</v>
      </c>
      <c r="L42" s="297">
        <f t="shared" si="11"/>
        <v>2806743.3685999997</v>
      </c>
      <c r="M42" s="299">
        <f t="shared" si="10"/>
        <v>106376609.3686</v>
      </c>
      <c r="N42" s="300">
        <f t="shared" si="7"/>
        <v>2806743.368599996</v>
      </c>
      <c r="O42" s="301">
        <f t="shared" si="8"/>
        <v>2.7099999999999961E-2</v>
      </c>
    </row>
    <row r="43" spans="1:15" ht="18.5" x14ac:dyDescent="0.45">
      <c r="A43" s="302" t="s">
        <v>197</v>
      </c>
      <c r="B43" s="294">
        <v>135681648</v>
      </c>
      <c r="C43" s="294"/>
      <c r="D43" s="295">
        <f>'Base $'!N46</f>
        <v>84311368.480233893</v>
      </c>
      <c r="E43" s="296">
        <f t="shared" si="4"/>
        <v>0.58581815063574261</v>
      </c>
      <c r="F43" s="295">
        <f>'Supplement $'!E44</f>
        <v>27474055.903382789</v>
      </c>
      <c r="G43" s="296">
        <f t="shared" si="5"/>
        <v>0.19089715787920114</v>
      </c>
      <c r="H43" s="297">
        <f>'Success $'!R44</f>
        <v>32135292.973360654</v>
      </c>
      <c r="I43" s="298">
        <f t="shared" si="6"/>
        <v>0.22328469148505617</v>
      </c>
      <c r="J43" s="295">
        <f t="shared" si="12"/>
        <v>143920717.35697734</v>
      </c>
      <c r="K43" s="297">
        <f t="shared" si="13"/>
        <v>0</v>
      </c>
      <c r="L43" s="297">
        <f t="shared" si="11"/>
        <v>0</v>
      </c>
      <c r="M43" s="299">
        <f t="shared" si="10"/>
        <v>143920717.35697734</v>
      </c>
      <c r="N43" s="300">
        <f t="shared" si="7"/>
        <v>8239069.3569773436</v>
      </c>
      <c r="O43" s="301">
        <f t="shared" si="8"/>
        <v>6.0723535411195358E-2</v>
      </c>
    </row>
    <row r="44" spans="1:15" ht="18.5" x14ac:dyDescent="0.45">
      <c r="A44" s="302" t="s">
        <v>198</v>
      </c>
      <c r="B44" s="294">
        <v>118390568</v>
      </c>
      <c r="C44" s="294"/>
      <c r="D44" s="295">
        <f>'Base $'!N47</f>
        <v>72808252.032113865</v>
      </c>
      <c r="E44" s="296">
        <f t="shared" si="4"/>
        <v>0.60664573495175855</v>
      </c>
      <c r="F44" s="295">
        <f>'Supplement $'!E45</f>
        <v>25134163.873608347</v>
      </c>
      <c r="G44" s="296">
        <f t="shared" si="5"/>
        <v>0.20942040070921875</v>
      </c>
      <c r="H44" s="297">
        <f>'Success $'!R45</f>
        <v>22075327.296418149</v>
      </c>
      <c r="I44" s="298">
        <f t="shared" si="6"/>
        <v>0.1839338643390227</v>
      </c>
      <c r="J44" s="295">
        <f t="shared" si="12"/>
        <v>120017743.20214036</v>
      </c>
      <c r="K44" s="297">
        <f t="shared" si="13"/>
        <v>0</v>
      </c>
      <c r="L44" s="297">
        <f t="shared" si="11"/>
        <v>1581209.190659639</v>
      </c>
      <c r="M44" s="299">
        <f t="shared" si="10"/>
        <v>121598952.3928</v>
      </c>
      <c r="N44" s="300">
        <f t="shared" si="7"/>
        <v>3208384.3928000033</v>
      </c>
      <c r="O44" s="301">
        <f t="shared" si="8"/>
        <v>2.7100000000000027E-2</v>
      </c>
    </row>
    <row r="45" spans="1:15" ht="18.5" x14ac:dyDescent="0.45">
      <c r="A45" s="302" t="s">
        <v>199</v>
      </c>
      <c r="B45" s="294">
        <v>163128127</v>
      </c>
      <c r="C45" s="294"/>
      <c r="D45" s="295">
        <f>'Base $'!N48</f>
        <v>115366476.52496834</v>
      </c>
      <c r="E45" s="296">
        <f t="shared" si="4"/>
        <v>0.65463731406478298</v>
      </c>
      <c r="F45" s="295">
        <f>'Supplement $'!E46</f>
        <v>21297835.518416345</v>
      </c>
      <c r="G45" s="296">
        <f t="shared" si="5"/>
        <v>0.12085276641132502</v>
      </c>
      <c r="H45" s="297">
        <f>'Success $'!R46</f>
        <v>39565294.864650011</v>
      </c>
      <c r="I45" s="298">
        <f t="shared" si="6"/>
        <v>0.22450991952389213</v>
      </c>
      <c r="J45" s="295">
        <f t="shared" si="12"/>
        <v>176229606.90803468</v>
      </c>
      <c r="K45" s="297">
        <f t="shared" si="13"/>
        <v>0</v>
      </c>
      <c r="L45" s="297">
        <f t="shared" si="11"/>
        <v>0</v>
      </c>
      <c r="M45" s="299">
        <f t="shared" si="10"/>
        <v>176229606.90803468</v>
      </c>
      <c r="N45" s="300">
        <f t="shared" si="7"/>
        <v>13101479.908034682</v>
      </c>
      <c r="O45" s="301">
        <f t="shared" si="8"/>
        <v>8.0314046075173062E-2</v>
      </c>
    </row>
    <row r="46" spans="1:15" ht="18.5" x14ac:dyDescent="0.45">
      <c r="A46" s="302" t="s">
        <v>200</v>
      </c>
      <c r="B46" s="294">
        <v>26892157</v>
      </c>
      <c r="C46" s="294"/>
      <c r="D46" s="295">
        <f>'Base $'!N49</f>
        <v>17458646.615516506</v>
      </c>
      <c r="E46" s="296">
        <f t="shared" si="4"/>
        <v>0.6111441373577714</v>
      </c>
      <c r="F46" s="295">
        <f>'Supplement $'!E47</f>
        <v>6097765.2048820499</v>
      </c>
      <c r="G46" s="296">
        <f t="shared" si="5"/>
        <v>0.21345374232134456</v>
      </c>
      <c r="H46" s="297">
        <f>'Success $'!R47</f>
        <v>5010738.7882900089</v>
      </c>
      <c r="I46" s="298">
        <f t="shared" si="6"/>
        <v>0.17540212032088409</v>
      </c>
      <c r="J46" s="295">
        <f t="shared" si="12"/>
        <v>28567150.608688563</v>
      </c>
      <c r="K46" s="297">
        <f t="shared" si="13"/>
        <v>0</v>
      </c>
      <c r="L46" s="297">
        <f t="shared" si="11"/>
        <v>0</v>
      </c>
      <c r="M46" s="299">
        <f t="shared" ref="M46:M74" si="14">J46-K46+L46</f>
        <v>28567150.608688563</v>
      </c>
      <c r="N46" s="300">
        <f t="shared" si="7"/>
        <v>1674993.6086885631</v>
      </c>
      <c r="O46" s="301">
        <f t="shared" si="8"/>
        <v>6.228558046454076E-2</v>
      </c>
    </row>
    <row r="47" spans="1:15" ht="18.5" x14ac:dyDescent="0.45">
      <c r="A47" s="302" t="s">
        <v>201</v>
      </c>
      <c r="B47" s="294">
        <v>74378241</v>
      </c>
      <c r="C47" s="294"/>
      <c r="D47" s="295">
        <f>'Base $'!N50</f>
        <v>45264200.669359379</v>
      </c>
      <c r="E47" s="296">
        <f t="shared" si="4"/>
        <v>0.6072934104577935</v>
      </c>
      <c r="F47" s="295">
        <f>'Supplement $'!E48</f>
        <v>13923281.815082693</v>
      </c>
      <c r="G47" s="296">
        <f t="shared" si="5"/>
        <v>0.18680363671969857</v>
      </c>
      <c r="H47" s="297">
        <f>'Success $'!R48</f>
        <v>15346836.330639517</v>
      </c>
      <c r="I47" s="298">
        <f t="shared" si="6"/>
        <v>0.20590295282250806</v>
      </c>
      <c r="J47" s="295">
        <f t="shared" si="12"/>
        <v>74534318.815081581</v>
      </c>
      <c r="K47" s="297">
        <f t="shared" si="13"/>
        <v>0</v>
      </c>
      <c r="L47" s="297">
        <f t="shared" si="11"/>
        <v>1859572.5160184186</v>
      </c>
      <c r="M47" s="299">
        <f t="shared" si="14"/>
        <v>76393891.331100002</v>
      </c>
      <c r="N47" s="300">
        <f t="shared" si="7"/>
        <v>2015650.3311000019</v>
      </c>
      <c r="O47" s="301">
        <f t="shared" si="8"/>
        <v>2.7100000000000027E-2</v>
      </c>
    </row>
    <row r="48" spans="1:15" ht="18.5" x14ac:dyDescent="0.45">
      <c r="A48" s="302" t="s">
        <v>202</v>
      </c>
      <c r="B48" s="294">
        <v>169708804</v>
      </c>
      <c r="C48" s="294"/>
      <c r="D48" s="295">
        <f>'Base $'!N51</f>
        <v>103888829.85922904</v>
      </c>
      <c r="E48" s="296">
        <f t="shared" si="4"/>
        <v>0.58739155504864893</v>
      </c>
      <c r="F48" s="295">
        <f>'Supplement $'!E49</f>
        <v>38501610.86009644</v>
      </c>
      <c r="G48" s="296">
        <f t="shared" si="5"/>
        <v>0.21768963136493477</v>
      </c>
      <c r="H48" s="297">
        <f>'Success $'!R49</f>
        <v>34474257.055610619</v>
      </c>
      <c r="I48" s="298">
        <f t="shared" si="6"/>
        <v>0.19491881358641625</v>
      </c>
      <c r="J48" s="295">
        <f t="shared" si="12"/>
        <v>176864697.77493611</v>
      </c>
      <c r="K48" s="297">
        <f t="shared" si="13"/>
        <v>0</v>
      </c>
      <c r="L48" s="297">
        <f t="shared" si="11"/>
        <v>0</v>
      </c>
      <c r="M48" s="299">
        <f t="shared" si="14"/>
        <v>176864697.77493611</v>
      </c>
      <c r="N48" s="300">
        <f t="shared" si="7"/>
        <v>7155893.7749361098</v>
      </c>
      <c r="O48" s="301">
        <f t="shared" si="8"/>
        <v>4.2165719198257443E-2</v>
      </c>
    </row>
    <row r="49" spans="1:15" ht="18.5" x14ac:dyDescent="0.45">
      <c r="A49" s="302" t="s">
        <v>203</v>
      </c>
      <c r="B49" s="294">
        <v>88599228</v>
      </c>
      <c r="C49" s="294"/>
      <c r="D49" s="295">
        <f>'Base $'!N52</f>
        <v>53521900.63900239</v>
      </c>
      <c r="E49" s="296">
        <f t="shared" si="4"/>
        <v>0.54879740672253163</v>
      </c>
      <c r="F49" s="295">
        <f>'Supplement $'!E50</f>
        <v>25140959.720723219</v>
      </c>
      <c r="G49" s="296">
        <f t="shared" si="5"/>
        <v>0.2577878089627143</v>
      </c>
      <c r="H49" s="297">
        <f>'Success $'!R50</f>
        <v>18862929.63742486</v>
      </c>
      <c r="I49" s="298">
        <f t="shared" si="6"/>
        <v>0.19341478431475409</v>
      </c>
      <c r="J49" s="295">
        <f t="shared" si="12"/>
        <v>97525789.997150466</v>
      </c>
      <c r="K49" s="297">
        <f t="shared" si="13"/>
        <v>0</v>
      </c>
      <c r="L49" s="297">
        <f t="shared" si="11"/>
        <v>0</v>
      </c>
      <c r="M49" s="299">
        <f t="shared" si="14"/>
        <v>97525789.997150466</v>
      </c>
      <c r="N49" s="300">
        <f t="shared" si="7"/>
        <v>8926561.9971504658</v>
      </c>
      <c r="O49" s="301">
        <f t="shared" si="8"/>
        <v>0.10075214196167111</v>
      </c>
    </row>
    <row r="50" spans="1:15" ht="18.5" x14ac:dyDescent="0.45">
      <c r="A50" s="302" t="s">
        <v>204</v>
      </c>
      <c r="B50" s="294">
        <v>248211771</v>
      </c>
      <c r="C50" s="294"/>
      <c r="D50" s="295">
        <f>'Base $'!N53</f>
        <v>170299916.8523806</v>
      </c>
      <c r="E50" s="296">
        <f t="shared" si="4"/>
        <v>0.66126919253662664</v>
      </c>
      <c r="F50" s="295">
        <f>'Supplement $'!E51</f>
        <v>46765436.644577369</v>
      </c>
      <c r="G50" s="296">
        <f t="shared" si="5"/>
        <v>0.18158871184528211</v>
      </c>
      <c r="H50" s="297">
        <f>'Success $'!R51</f>
        <v>40469578.985093184</v>
      </c>
      <c r="I50" s="298">
        <f t="shared" si="6"/>
        <v>0.15714209561809137</v>
      </c>
      <c r="J50" s="295">
        <f t="shared" si="12"/>
        <v>257534932.48205113</v>
      </c>
      <c r="K50" s="297">
        <f t="shared" si="13"/>
        <v>0</v>
      </c>
      <c r="L50" s="297">
        <f t="shared" si="11"/>
        <v>0</v>
      </c>
      <c r="M50" s="299">
        <f t="shared" si="14"/>
        <v>257534932.48205113</v>
      </c>
      <c r="N50" s="300">
        <f t="shared" si="7"/>
        <v>9323161.4820511341</v>
      </c>
      <c r="O50" s="301">
        <f t="shared" si="8"/>
        <v>3.7561318887052837E-2</v>
      </c>
    </row>
    <row r="51" spans="1:15" ht="21" x14ac:dyDescent="0.45">
      <c r="A51" s="302" t="s">
        <v>557</v>
      </c>
      <c r="B51" s="294">
        <v>124029738</v>
      </c>
      <c r="C51" s="294"/>
      <c r="D51" s="295">
        <f>'Base $'!N54</f>
        <v>90003549.171389401</v>
      </c>
      <c r="E51" s="296">
        <f t="shared" si="4"/>
        <v>0.6939537849869778</v>
      </c>
      <c r="F51" s="295">
        <f>'Supplement $'!E52</f>
        <v>20555276.532529972</v>
      </c>
      <c r="G51" s="296">
        <f t="shared" si="5"/>
        <v>0.15848721614344502</v>
      </c>
      <c r="H51" s="297">
        <f>'Success $'!R52</f>
        <v>19137922.290730365</v>
      </c>
      <c r="I51" s="298">
        <f t="shared" si="6"/>
        <v>0.14755899886957724</v>
      </c>
      <c r="J51" s="295">
        <f>H51+F51+D51</f>
        <v>129696747.99464974</v>
      </c>
      <c r="K51" s="297">
        <f t="shared" si="13"/>
        <v>0</v>
      </c>
      <c r="L51" s="297">
        <f>IF(Allocations!J51&gt;(Allocations!B51*(1+Allocations!D67)),0,Allocations!B51*MacroInformation!D67)</f>
        <v>0</v>
      </c>
      <c r="M51" s="299">
        <f t="shared" si="14"/>
        <v>129696747.99464974</v>
      </c>
      <c r="N51" s="300">
        <f t="shared" si="7"/>
        <v>5667009.9946497381</v>
      </c>
      <c r="O51" s="301">
        <f t="shared" si="8"/>
        <v>4.5690735835060281E-2</v>
      </c>
    </row>
    <row r="52" spans="1:15" ht="18.5" x14ac:dyDescent="0.45">
      <c r="A52" s="302" t="s">
        <v>206</v>
      </c>
      <c r="B52" s="294">
        <v>90286179</v>
      </c>
      <c r="C52" s="294"/>
      <c r="D52" s="295">
        <f>'Base $'!N55</f>
        <v>52930838.397191025</v>
      </c>
      <c r="E52" s="296">
        <f t="shared" si="4"/>
        <v>0.53782786021365891</v>
      </c>
      <c r="F52" s="295">
        <f>'Supplement $'!E53</f>
        <v>21341824.759825759</v>
      </c>
      <c r="G52" s="296">
        <f t="shared" si="5"/>
        <v>0.21685331823954462</v>
      </c>
      <c r="H52" s="297">
        <f>'Success $'!R53</f>
        <v>24143284.235822957</v>
      </c>
      <c r="I52" s="298">
        <f t="shared" si="6"/>
        <v>0.24531882154679641</v>
      </c>
      <c r="J52" s="295">
        <f t="shared" si="12"/>
        <v>98415947.392839745</v>
      </c>
      <c r="K52" s="297">
        <f t="shared" si="13"/>
        <v>0</v>
      </c>
      <c r="L52" s="297">
        <f>IF(((J52-B52)/B52)&lt;0,(0.0271*B52),IF(((J52-B52)/B52)&lt;0.027,((0.0271-(J52-B52)/B52)*B52),0))</f>
        <v>0</v>
      </c>
      <c r="M52" s="299">
        <f t="shared" si="14"/>
        <v>98415947.392839745</v>
      </c>
      <c r="N52" s="300">
        <f t="shared" si="7"/>
        <v>8129768.3928397447</v>
      </c>
      <c r="O52" s="301">
        <f t="shared" si="8"/>
        <v>9.0044439612842017E-2</v>
      </c>
    </row>
    <row r="53" spans="1:15" ht="21" x14ac:dyDescent="0.45">
      <c r="A53" s="302" t="s">
        <v>558</v>
      </c>
      <c r="B53" s="294">
        <v>71024603</v>
      </c>
      <c r="C53" s="294"/>
      <c r="D53" s="295">
        <f>'Base $'!N56</f>
        <v>43854828.619934149</v>
      </c>
      <c r="E53" s="296">
        <f t="shared" si="4"/>
        <v>0.60238147493603289</v>
      </c>
      <c r="F53" s="295">
        <f>'Supplement $'!E54</f>
        <v>15184932.581315782</v>
      </c>
      <c r="G53" s="296">
        <f t="shared" si="5"/>
        <v>0.20857730774438396</v>
      </c>
      <c r="H53" s="297">
        <f>'Success $'!R54</f>
        <v>13762657.937869702</v>
      </c>
      <c r="I53" s="298">
        <f t="shared" si="6"/>
        <v>0.18904121731958326</v>
      </c>
      <c r="J53" s="295">
        <f t="shared" si="12"/>
        <v>72802419.139119625</v>
      </c>
      <c r="K53" s="297">
        <f t="shared" si="13"/>
        <v>0</v>
      </c>
      <c r="L53" s="297"/>
      <c r="M53" s="299">
        <f t="shared" si="14"/>
        <v>72802419.139119625</v>
      </c>
      <c r="N53" s="300">
        <f t="shared" si="7"/>
        <v>1777816.1391196251</v>
      </c>
      <c r="O53" s="301">
        <f t="shared" si="8"/>
        <v>2.5030990164346643E-2</v>
      </c>
    </row>
    <row r="54" spans="1:15" ht="18.5" x14ac:dyDescent="0.45">
      <c r="A54" s="302" t="s">
        <v>208</v>
      </c>
      <c r="B54" s="294">
        <v>48676957</v>
      </c>
      <c r="C54" s="294"/>
      <c r="D54" s="295">
        <f>'Base $'!N57</f>
        <v>30693020.858886905</v>
      </c>
      <c r="E54" s="296">
        <f t="shared" si="4"/>
        <v>0.64096984945124735</v>
      </c>
      <c r="F54" s="295">
        <f>'Supplement $'!E55</f>
        <v>7503946.6830855682</v>
      </c>
      <c r="G54" s="296">
        <f t="shared" si="5"/>
        <v>0.15670675095360989</v>
      </c>
      <c r="H54" s="297">
        <f>'Success $'!R55</f>
        <v>9688312.6863628849</v>
      </c>
      <c r="I54" s="298">
        <f t="shared" si="6"/>
        <v>0.20232339959514278</v>
      </c>
      <c r="J54" s="295">
        <f t="shared" si="12"/>
        <v>47885280.228335358</v>
      </c>
      <c r="K54" s="297">
        <f t="shared" si="13"/>
        <v>-791676.7716646418</v>
      </c>
      <c r="L54" s="297">
        <f>IF(((J54-B54)/B54)&lt;0,(0.0271*B54),IF(((J54-B54)/B54)&lt;0.027,((0.0271-(J54-B54)/B54)*B54),0))</f>
        <v>1319145.5347</v>
      </c>
      <c r="M54" s="299">
        <f t="shared" si="14"/>
        <v>49996102.534699999</v>
      </c>
      <c r="N54" s="300">
        <f t="shared" si="7"/>
        <v>1319145.5346999988</v>
      </c>
      <c r="O54" s="301">
        <f t="shared" si="8"/>
        <v>2.7099999999999975E-2</v>
      </c>
    </row>
    <row r="55" spans="1:15" ht="21" x14ac:dyDescent="0.45">
      <c r="A55" s="302" t="s">
        <v>559</v>
      </c>
      <c r="B55" s="294">
        <v>98269691</v>
      </c>
      <c r="C55" s="294"/>
      <c r="D55" s="295">
        <f>'Base $'!N58</f>
        <v>58813861.137251623</v>
      </c>
      <c r="E55" s="296">
        <f t="shared" si="4"/>
        <v>0.61536857151101354</v>
      </c>
      <c r="F55" s="295">
        <f>'Supplement $'!E56</f>
        <v>14502745.389485475</v>
      </c>
      <c r="G55" s="296">
        <f t="shared" si="5"/>
        <v>0.15174201354488148</v>
      </c>
      <c r="H55" s="297">
        <f>'Success $'!R56</f>
        <v>22258409.585698552</v>
      </c>
      <c r="I55" s="298">
        <f t="shared" si="6"/>
        <v>0.23288941494410509</v>
      </c>
      <c r="J55" s="295">
        <f t="shared" si="12"/>
        <v>95575016.112435639</v>
      </c>
      <c r="K55" s="297">
        <f t="shared" si="13"/>
        <v>-2694674.8875643611</v>
      </c>
      <c r="L55" s="297"/>
      <c r="M55" s="299">
        <f t="shared" si="14"/>
        <v>98269691</v>
      </c>
      <c r="N55" s="300">
        <f t="shared" si="7"/>
        <v>0</v>
      </c>
      <c r="O55" s="301">
        <f t="shared" si="8"/>
        <v>0</v>
      </c>
    </row>
    <row r="56" spans="1:15" ht="18.5" x14ac:dyDescent="0.45">
      <c r="A56" s="302" t="s">
        <v>210</v>
      </c>
      <c r="B56" s="294">
        <v>72913606</v>
      </c>
      <c r="C56" s="294"/>
      <c r="D56" s="295">
        <f>'Base $'!N59</f>
        <v>46584799.512324549</v>
      </c>
      <c r="E56" s="296">
        <f t="shared" si="4"/>
        <v>0.58575638238947048</v>
      </c>
      <c r="F56" s="295">
        <f>'Supplement $'!E57</f>
        <v>13016469.550080393</v>
      </c>
      <c r="G56" s="296">
        <f t="shared" si="5"/>
        <v>0.16366884037186089</v>
      </c>
      <c r="H56" s="297">
        <f>'Success $'!R57</f>
        <v>19928038.535220563</v>
      </c>
      <c r="I56" s="298">
        <f t="shared" si="6"/>
        <v>0.25057477723866856</v>
      </c>
      <c r="J56" s="295">
        <f t="shared" si="12"/>
        <v>79529307.597625509</v>
      </c>
      <c r="K56" s="297">
        <f t="shared" si="13"/>
        <v>0</v>
      </c>
      <c r="L56" s="297">
        <f t="shared" ref="L56:L64" si="15">IF(((J56-B56)/B56)&lt;0,(0.0271*B56),IF(((J56-B56)/B56)&lt;0.027,((0.0271-(J56-B56)/B56)*B56),0))</f>
        <v>0</v>
      </c>
      <c r="M56" s="299">
        <f t="shared" si="14"/>
        <v>79529307.597625509</v>
      </c>
      <c r="N56" s="300">
        <f t="shared" si="7"/>
        <v>6615701.5976255089</v>
      </c>
      <c r="O56" s="301">
        <f t="shared" si="8"/>
        <v>9.0733430433073206E-2</v>
      </c>
    </row>
    <row r="57" spans="1:15" ht="18.5" x14ac:dyDescent="0.45">
      <c r="A57" s="302" t="s">
        <v>211</v>
      </c>
      <c r="B57" s="294">
        <v>94230775</v>
      </c>
      <c r="C57" s="294"/>
      <c r="D57" s="295">
        <f>'Base $'!N60</f>
        <v>59267032.591801398</v>
      </c>
      <c r="E57" s="296">
        <f t="shared" si="4"/>
        <v>0.61024015295559708</v>
      </c>
      <c r="F57" s="295">
        <f>'Supplement $'!E58</f>
        <v>15074018.918399503</v>
      </c>
      <c r="G57" s="296">
        <f t="shared" si="5"/>
        <v>0.15520891139895157</v>
      </c>
      <c r="H57" s="297">
        <f>'Success $'!R58</f>
        <v>22779782.484008331</v>
      </c>
      <c r="I57" s="298">
        <f t="shared" si="6"/>
        <v>0.23455093564545132</v>
      </c>
      <c r="J57" s="295">
        <f t="shared" si="12"/>
        <v>97120833.99420923</v>
      </c>
      <c r="K57" s="297">
        <f t="shared" si="13"/>
        <v>0</v>
      </c>
      <c r="L57" s="297">
        <f t="shared" si="15"/>
        <v>0</v>
      </c>
      <c r="M57" s="299">
        <f t="shared" si="14"/>
        <v>97120833.99420923</v>
      </c>
      <c r="N57" s="300">
        <f t="shared" si="7"/>
        <v>2890058.9942092299</v>
      </c>
      <c r="O57" s="301">
        <f t="shared" si="8"/>
        <v>3.0670011938342116E-2</v>
      </c>
    </row>
    <row r="58" spans="1:15" ht="18.5" x14ac:dyDescent="0.45">
      <c r="A58" s="302" t="s">
        <v>212</v>
      </c>
      <c r="B58" s="294">
        <v>129892581</v>
      </c>
      <c r="C58" s="294"/>
      <c r="D58" s="295">
        <f>'Base $'!N61</f>
        <v>74647901.462699726</v>
      </c>
      <c r="E58" s="296">
        <f t="shared" si="4"/>
        <v>0.59084559459628405</v>
      </c>
      <c r="F58" s="295">
        <f>'Supplement $'!E59</f>
        <v>24400704.448005855</v>
      </c>
      <c r="G58" s="296">
        <f t="shared" si="5"/>
        <v>0.19313401241901174</v>
      </c>
      <c r="H58" s="297">
        <f>'Success $'!R59</f>
        <v>27292187.936975576</v>
      </c>
      <c r="I58" s="298">
        <f t="shared" si="6"/>
        <v>0.21602039298470413</v>
      </c>
      <c r="J58" s="295">
        <f t="shared" si="12"/>
        <v>126340793.84768116</v>
      </c>
      <c r="K58" s="297">
        <f t="shared" si="13"/>
        <v>-3551787.1523188353</v>
      </c>
      <c r="L58" s="297">
        <f t="shared" si="15"/>
        <v>3520088.9450999997</v>
      </c>
      <c r="M58" s="299">
        <f t="shared" si="14"/>
        <v>133412669.94509999</v>
      </c>
      <c r="N58" s="300">
        <f t="shared" si="7"/>
        <v>3520088.9450999945</v>
      </c>
      <c r="O58" s="301">
        <f t="shared" si="8"/>
        <v>2.7099999999999957E-2</v>
      </c>
    </row>
    <row r="59" spans="1:15" ht="18.5" x14ac:dyDescent="0.45">
      <c r="A59" s="302" t="s">
        <v>213</v>
      </c>
      <c r="B59" s="294">
        <v>60049359</v>
      </c>
      <c r="C59" s="294"/>
      <c r="D59" s="295">
        <f>'Base $'!N62</f>
        <v>40268945.322300456</v>
      </c>
      <c r="E59" s="296">
        <f t="shared" si="4"/>
        <v>0.57951083506142098</v>
      </c>
      <c r="F59" s="295">
        <f>'Supplement $'!E60</f>
        <v>17226799.894410484</v>
      </c>
      <c r="G59" s="296">
        <f t="shared" si="5"/>
        <v>0.24791106676233926</v>
      </c>
      <c r="H59" s="297">
        <f>'Success $'!R60</f>
        <v>11992076.03866291</v>
      </c>
      <c r="I59" s="298">
        <f t="shared" si="6"/>
        <v>0.17257809817623979</v>
      </c>
      <c r="J59" s="295">
        <f t="shared" si="12"/>
        <v>69487821.25537385</v>
      </c>
      <c r="K59" s="297">
        <f t="shared" si="13"/>
        <v>0</v>
      </c>
      <c r="L59" s="297">
        <f t="shared" si="15"/>
        <v>0</v>
      </c>
      <c r="M59" s="299">
        <f t="shared" si="14"/>
        <v>69487821.25537385</v>
      </c>
      <c r="N59" s="300">
        <f t="shared" si="7"/>
        <v>9438462.2553738505</v>
      </c>
      <c r="O59" s="301">
        <f t="shared" si="8"/>
        <v>0.15717840144428269</v>
      </c>
    </row>
    <row r="60" spans="1:15" ht="18.5" x14ac:dyDescent="0.45">
      <c r="A60" s="302" t="s">
        <v>214</v>
      </c>
      <c r="B60" s="294">
        <v>41780732</v>
      </c>
      <c r="C60" s="294"/>
      <c r="D60" s="295">
        <f>'Base $'!N63</f>
        <v>26203026.531803604</v>
      </c>
      <c r="E60" s="296">
        <f t="shared" si="4"/>
        <v>0.56693695773784336</v>
      </c>
      <c r="F60" s="295">
        <f>'Supplement $'!E61</f>
        <v>10784601.669711975</v>
      </c>
      <c r="G60" s="296">
        <f t="shared" si="5"/>
        <v>0.23333904782411108</v>
      </c>
      <c r="H60" s="297">
        <f>'Success $'!R61</f>
        <v>9230961.3156633638</v>
      </c>
      <c r="I60" s="298">
        <f t="shared" si="6"/>
        <v>0.1997239944380457</v>
      </c>
      <c r="J60" s="295">
        <f t="shared" si="12"/>
        <v>46218589.517178938</v>
      </c>
      <c r="K60" s="297">
        <f t="shared" si="13"/>
        <v>0</v>
      </c>
      <c r="L60" s="297">
        <f t="shared" si="15"/>
        <v>0</v>
      </c>
      <c r="M60" s="299">
        <f t="shared" si="14"/>
        <v>46218589.517178938</v>
      </c>
      <c r="N60" s="300">
        <f t="shared" si="7"/>
        <v>4437857.5171789378</v>
      </c>
      <c r="O60" s="301">
        <f t="shared" si="8"/>
        <v>0.10621780195662771</v>
      </c>
    </row>
    <row r="61" spans="1:15" ht="18.5" x14ac:dyDescent="0.45">
      <c r="A61" s="302" t="s">
        <v>215</v>
      </c>
      <c r="B61" s="294">
        <v>84769405</v>
      </c>
      <c r="C61" s="294"/>
      <c r="D61" s="295">
        <f>'Base $'!N64</f>
        <v>49912725.123229504</v>
      </c>
      <c r="E61" s="296">
        <f t="shared" si="4"/>
        <v>0.56493617555907771</v>
      </c>
      <c r="F61" s="295">
        <f>'Supplement $'!E62</f>
        <v>17455318.36590185</v>
      </c>
      <c r="G61" s="296">
        <f t="shared" si="5"/>
        <v>0.19756766989685606</v>
      </c>
      <c r="H61" s="297">
        <f>'Success $'!R62</f>
        <v>20983043.381583516</v>
      </c>
      <c r="I61" s="298">
        <f t="shared" si="6"/>
        <v>0.23749615454406617</v>
      </c>
      <c r="J61" s="295">
        <f t="shared" si="12"/>
        <v>88351086.870714873</v>
      </c>
      <c r="K61" s="297">
        <f t="shared" si="13"/>
        <v>0</v>
      </c>
      <c r="L61" s="297">
        <f t="shared" si="15"/>
        <v>0</v>
      </c>
      <c r="M61" s="299">
        <f t="shared" si="14"/>
        <v>88351086.870714873</v>
      </c>
      <c r="N61" s="300">
        <f t="shared" si="7"/>
        <v>3581681.8707148731</v>
      </c>
      <c r="O61" s="301">
        <f t="shared" si="8"/>
        <v>4.225205863736891E-2</v>
      </c>
    </row>
    <row r="62" spans="1:15" ht="18.5" x14ac:dyDescent="0.45">
      <c r="A62" s="302" t="s">
        <v>216</v>
      </c>
      <c r="B62" s="294">
        <v>18459030</v>
      </c>
      <c r="C62" s="294"/>
      <c r="D62" s="295">
        <f>'Base $'!N65</f>
        <v>14998841.244800035</v>
      </c>
      <c r="E62" s="296">
        <f t="shared" si="4"/>
        <v>0.74370178777612672</v>
      </c>
      <c r="F62" s="295">
        <f>'Supplement $'!E63</f>
        <v>2186983.7400289909</v>
      </c>
      <c r="G62" s="296">
        <f t="shared" si="5"/>
        <v>0.10843929145931597</v>
      </c>
      <c r="H62" s="297">
        <f>'Success $'!R63</f>
        <v>2981991.593440474</v>
      </c>
      <c r="I62" s="298">
        <f t="shared" si="6"/>
        <v>0.14785892076455726</v>
      </c>
      <c r="J62" s="295">
        <f t="shared" si="12"/>
        <v>20167816.5782695</v>
      </c>
      <c r="K62" s="297">
        <f t="shared" si="13"/>
        <v>0</v>
      </c>
      <c r="L62" s="297">
        <f t="shared" si="15"/>
        <v>0</v>
      </c>
      <c r="M62" s="299">
        <f t="shared" si="14"/>
        <v>20167816.5782695</v>
      </c>
      <c r="N62" s="300">
        <f t="shared" si="7"/>
        <v>1708786.5782695003</v>
      </c>
      <c r="O62" s="301">
        <f t="shared" si="8"/>
        <v>9.257185118987836E-2</v>
      </c>
    </row>
    <row r="63" spans="1:15" ht="18.5" x14ac:dyDescent="0.45">
      <c r="A63" s="302" t="s">
        <v>217</v>
      </c>
      <c r="B63" s="294">
        <v>48527054</v>
      </c>
      <c r="C63" s="294"/>
      <c r="D63" s="295">
        <f>'Base $'!N66</f>
        <v>29633084.82304452</v>
      </c>
      <c r="E63" s="296">
        <f t="shared" si="4"/>
        <v>0.62519775551432555</v>
      </c>
      <c r="F63" s="295">
        <f>'Supplement $'!E64</f>
        <v>7584442.1280297153</v>
      </c>
      <c r="G63" s="296">
        <f t="shared" si="5"/>
        <v>0.16001628664677445</v>
      </c>
      <c r="H63" s="297">
        <f>'Success $'!R64</f>
        <v>10180411.639838569</v>
      </c>
      <c r="I63" s="298">
        <f t="shared" si="6"/>
        <v>0.2147859578389</v>
      </c>
      <c r="J63" s="295">
        <f t="shared" si="12"/>
        <v>47397938.590912804</v>
      </c>
      <c r="K63" s="297">
        <f t="shared" si="13"/>
        <v>-1129115.409087196</v>
      </c>
      <c r="L63" s="297">
        <f t="shared" si="15"/>
        <v>1315083.1634</v>
      </c>
      <c r="M63" s="299">
        <f t="shared" si="14"/>
        <v>49842137.163400002</v>
      </c>
      <c r="N63" s="300">
        <f t="shared" si="7"/>
        <v>1315083.1634000018</v>
      </c>
      <c r="O63" s="301">
        <f t="shared" si="8"/>
        <v>2.7100000000000037E-2</v>
      </c>
    </row>
    <row r="64" spans="1:15" ht="18.5" x14ac:dyDescent="0.45">
      <c r="A64" s="302" t="s">
        <v>218</v>
      </c>
      <c r="B64" s="294">
        <v>106857222</v>
      </c>
      <c r="C64" s="294"/>
      <c r="D64" s="295">
        <f>'Base $'!N67</f>
        <v>68260144.730619013</v>
      </c>
      <c r="E64" s="296">
        <f t="shared" si="4"/>
        <v>0.67392090696822915</v>
      </c>
      <c r="F64" s="295">
        <f>'Supplement $'!E65</f>
        <v>13189135.880068403</v>
      </c>
      <c r="G64" s="296">
        <f t="shared" si="5"/>
        <v>0.13021411615079515</v>
      </c>
      <c r="H64" s="297">
        <f>'Success $'!R65</f>
        <v>19838784.538828745</v>
      </c>
      <c r="I64" s="298">
        <f t="shared" si="6"/>
        <v>0.19586497688097571</v>
      </c>
      <c r="J64" s="295">
        <f t="shared" si="12"/>
        <v>101288065.14951617</v>
      </c>
      <c r="K64" s="297">
        <f t="shared" si="13"/>
        <v>-5569156.8504838347</v>
      </c>
      <c r="L64" s="297">
        <f t="shared" si="15"/>
        <v>2895830.7161999997</v>
      </c>
      <c r="M64" s="299">
        <f t="shared" si="14"/>
        <v>109753052.71619999</v>
      </c>
      <c r="N64" s="300">
        <f t="shared" si="7"/>
        <v>2895830.7161999941</v>
      </c>
      <c r="O64" s="301">
        <f t="shared" si="8"/>
        <v>2.7099999999999944E-2</v>
      </c>
    </row>
    <row r="65" spans="1:15" ht="21" x14ac:dyDescent="0.45">
      <c r="A65" s="302" t="s">
        <v>560</v>
      </c>
      <c r="B65" s="294">
        <v>152643185</v>
      </c>
      <c r="C65" s="294"/>
      <c r="D65" s="295">
        <f>'Base $'!N68</f>
        <v>94264224.522836357</v>
      </c>
      <c r="E65" s="296">
        <f t="shared" si="4"/>
        <v>0.621686465948319</v>
      </c>
      <c r="F65" s="295">
        <f>'Supplement $'!E66</f>
        <v>22701819.800373502</v>
      </c>
      <c r="G65" s="296">
        <f t="shared" si="5"/>
        <v>0.14972185040222416</v>
      </c>
      <c r="H65" s="297">
        <f>'Success $'!R66</f>
        <v>34660586.922567613</v>
      </c>
      <c r="I65" s="298">
        <f t="shared" si="6"/>
        <v>0.22859168364945687</v>
      </c>
      <c r="J65" s="295">
        <f t="shared" si="12"/>
        <v>151626631.24577746</v>
      </c>
      <c r="K65" s="297">
        <f t="shared" si="13"/>
        <v>-1016553.754222542</v>
      </c>
      <c r="L65" s="297"/>
      <c r="M65" s="299">
        <f t="shared" si="14"/>
        <v>152643185</v>
      </c>
      <c r="N65" s="300">
        <f t="shared" si="7"/>
        <v>0</v>
      </c>
      <c r="O65" s="301">
        <f t="shared" si="8"/>
        <v>0</v>
      </c>
    </row>
    <row r="66" spans="1:15" ht="18.5" x14ac:dyDescent="0.45">
      <c r="A66" s="302" t="s">
        <v>220</v>
      </c>
      <c r="B66" s="294">
        <v>92594035</v>
      </c>
      <c r="C66" s="294"/>
      <c r="D66" s="295">
        <f>'Base $'!N69</f>
        <v>56489695.707090355</v>
      </c>
      <c r="E66" s="296">
        <f t="shared" si="4"/>
        <v>0.59651935772023335</v>
      </c>
      <c r="F66" s="295">
        <f>'Supplement $'!E67</f>
        <v>21161056.054238159</v>
      </c>
      <c r="G66" s="296">
        <f t="shared" si="5"/>
        <v>0.22345632080598404</v>
      </c>
      <c r="H66" s="297">
        <f>'Success $'!R67</f>
        <v>17048095.771434933</v>
      </c>
      <c r="I66" s="298">
        <f t="shared" si="6"/>
        <v>0.18002432147378261</v>
      </c>
      <c r="J66" s="295">
        <f t="shared" si="12"/>
        <v>94698847.532763451</v>
      </c>
      <c r="K66" s="297">
        <f t="shared" si="13"/>
        <v>0</v>
      </c>
      <c r="L66" s="297">
        <f t="shared" ref="L66:L71" si="16">IF(((J66-B66)/B66)&lt;0,(0.0271*B66),IF(((J66-B66)/B66)&lt;0.027,((0.0271-(J66-B66)/B66)*B66),0))</f>
        <v>404485.81573654857</v>
      </c>
      <c r="M66" s="299">
        <f t="shared" si="14"/>
        <v>95103333.348499998</v>
      </c>
      <c r="N66" s="300">
        <f t="shared" si="7"/>
        <v>2509298.3484999985</v>
      </c>
      <c r="O66" s="301">
        <f t="shared" si="8"/>
        <v>2.7099999999999982E-2</v>
      </c>
    </row>
    <row r="67" spans="1:15" ht="18.5" x14ac:dyDescent="0.45">
      <c r="A67" s="302" t="s">
        <v>221</v>
      </c>
      <c r="B67" s="294">
        <v>170760731</v>
      </c>
      <c r="C67" s="294"/>
      <c r="D67" s="295">
        <f>'Base $'!N70</f>
        <v>105163023.39568654</v>
      </c>
      <c r="E67" s="296">
        <f t="shared" si="4"/>
        <v>0.57325042433701556</v>
      </c>
      <c r="F67" s="295">
        <f>'Supplement $'!E68</f>
        <v>44180934.127355859</v>
      </c>
      <c r="G67" s="296">
        <f t="shared" si="5"/>
        <v>0.24083312193125195</v>
      </c>
      <c r="H67" s="297">
        <f>'Success $'!R68</f>
        <v>34106449.020156093</v>
      </c>
      <c r="I67" s="298">
        <f t="shared" si="6"/>
        <v>0.1859164537317326</v>
      </c>
      <c r="J67" s="295">
        <f t="shared" ref="J67:J74" si="17">D67+F67+H67</f>
        <v>183450406.54319847</v>
      </c>
      <c r="K67" s="297">
        <f t="shared" ref="K67:K74" si="18">IF((J67-B67)&lt;0, (J67-B67),0)</f>
        <v>0</v>
      </c>
      <c r="L67" s="297">
        <f t="shared" si="16"/>
        <v>0</v>
      </c>
      <c r="M67" s="299">
        <f t="shared" si="14"/>
        <v>183450406.54319847</v>
      </c>
      <c r="N67" s="300">
        <f t="shared" si="7"/>
        <v>12689675.543198466</v>
      </c>
      <c r="O67" s="301">
        <f t="shared" si="8"/>
        <v>7.4312609631534465E-2</v>
      </c>
    </row>
    <row r="68" spans="1:15" ht="18.5" x14ac:dyDescent="0.45">
      <c r="A68" s="302" t="s">
        <v>222</v>
      </c>
      <c r="B68" s="294">
        <v>151132746</v>
      </c>
      <c r="C68" s="294"/>
      <c r="D68" s="295">
        <f>'Base $'!N71</f>
        <v>92148607.227124318</v>
      </c>
      <c r="E68" s="296">
        <f t="shared" ref="E68:E74" si="19">D68/J68</f>
        <v>0.56357389204355191</v>
      </c>
      <c r="F68" s="295">
        <f>'Supplement $'!E69</f>
        <v>28100054.019628502</v>
      </c>
      <c r="G68" s="296">
        <f t="shared" ref="G68:G74" si="20">F68/J68</f>
        <v>0.17185779890783379</v>
      </c>
      <c r="H68" s="297">
        <f>'Success $'!R69</f>
        <v>43258925.829341255</v>
      </c>
      <c r="I68" s="298">
        <f t="shared" ref="I68:I74" si="21">H68/J68</f>
        <v>0.26456830904861417</v>
      </c>
      <c r="J68" s="295">
        <f t="shared" si="17"/>
        <v>163507587.07609409</v>
      </c>
      <c r="K68" s="297">
        <f t="shared" si="18"/>
        <v>0</v>
      </c>
      <c r="L68" s="297">
        <f t="shared" si="16"/>
        <v>0</v>
      </c>
      <c r="M68" s="299">
        <f t="shared" si="14"/>
        <v>163507587.07609409</v>
      </c>
      <c r="N68" s="300">
        <f t="shared" ref="N68:N74" si="22">M68-B68</f>
        <v>12374841.076094091</v>
      </c>
      <c r="O68" s="301">
        <f t="shared" ref="O68:O74" si="23">N68/B68</f>
        <v>8.188060763544977E-2</v>
      </c>
    </row>
    <row r="69" spans="1:15" ht="18.5" x14ac:dyDescent="0.45">
      <c r="A69" s="302" t="s">
        <v>223</v>
      </c>
      <c r="B69" s="294">
        <v>55581067</v>
      </c>
      <c r="C69" s="294"/>
      <c r="D69" s="295">
        <f>'Base $'!N72</f>
        <v>36923222.436484069</v>
      </c>
      <c r="E69" s="296">
        <f t="shared" si="19"/>
        <v>0.5559394944542112</v>
      </c>
      <c r="F69" s="295">
        <f>'Supplement $'!E70</f>
        <v>18892341.075125687</v>
      </c>
      <c r="G69" s="296">
        <f t="shared" si="20"/>
        <v>0.28445508959650889</v>
      </c>
      <c r="H69" s="297">
        <f>'Success $'!R70</f>
        <v>10600337.507858425</v>
      </c>
      <c r="I69" s="298">
        <f t="shared" si="21"/>
        <v>0.15960541594927996</v>
      </c>
      <c r="J69" s="295">
        <f t="shared" si="17"/>
        <v>66415901.019468181</v>
      </c>
      <c r="K69" s="297">
        <f t="shared" si="18"/>
        <v>0</v>
      </c>
      <c r="L69" s="297">
        <f t="shared" si="16"/>
        <v>0</v>
      </c>
      <c r="M69" s="299">
        <f t="shared" si="14"/>
        <v>66415901.019468181</v>
      </c>
      <c r="N69" s="300">
        <f t="shared" si="22"/>
        <v>10834834.019468181</v>
      </c>
      <c r="O69" s="301">
        <f t="shared" si="23"/>
        <v>0.19493749588269293</v>
      </c>
    </row>
    <row r="70" spans="1:15" ht="18.5" x14ac:dyDescent="0.45">
      <c r="A70" s="302" t="s">
        <v>224</v>
      </c>
      <c r="B70" s="294">
        <v>36928292</v>
      </c>
      <c r="C70" s="294"/>
      <c r="D70" s="295">
        <f>'Base $'!N73</f>
        <v>25873560.507560626</v>
      </c>
      <c r="E70" s="296">
        <f t="shared" si="19"/>
        <v>0.59624305892801621</v>
      </c>
      <c r="F70" s="295">
        <f>'Supplement $'!E71</f>
        <v>9328718.0947117414</v>
      </c>
      <c r="G70" s="296">
        <f t="shared" si="20"/>
        <v>0.21497556979228716</v>
      </c>
      <c r="H70" s="297">
        <f>'Success $'!R71</f>
        <v>8192038.7321359031</v>
      </c>
      <c r="I70" s="298">
        <f t="shared" si="21"/>
        <v>0.18878137127969663</v>
      </c>
      <c r="J70" s="295">
        <f t="shared" si="17"/>
        <v>43394317.334408268</v>
      </c>
      <c r="K70" s="297">
        <f t="shared" si="18"/>
        <v>0</v>
      </c>
      <c r="L70" s="297">
        <f t="shared" si="16"/>
        <v>0</v>
      </c>
      <c r="M70" s="299">
        <f t="shared" si="14"/>
        <v>43394317.334408268</v>
      </c>
      <c r="N70" s="300">
        <f t="shared" si="22"/>
        <v>6466025.3344082683</v>
      </c>
      <c r="O70" s="301">
        <f t="shared" si="23"/>
        <v>0.17509678851131993</v>
      </c>
    </row>
    <row r="71" spans="1:15" ht="18.5" x14ac:dyDescent="0.45">
      <c r="A71" s="302" t="s">
        <v>225</v>
      </c>
      <c r="B71" s="294">
        <v>23826196</v>
      </c>
      <c r="C71" s="294"/>
      <c r="D71" s="295">
        <f>'Base $'!N74</f>
        <v>16167954.018709499</v>
      </c>
      <c r="E71" s="296">
        <f t="shared" si="19"/>
        <v>0.63646836234814352</v>
      </c>
      <c r="F71" s="295">
        <f>'Supplement $'!E72</f>
        <v>4240490.9883254804</v>
      </c>
      <c r="G71" s="296">
        <f t="shared" si="20"/>
        <v>0.16693134776165103</v>
      </c>
      <c r="H71" s="297">
        <f>'Success $'!R72</f>
        <v>4994159.3880374469</v>
      </c>
      <c r="I71" s="298">
        <f t="shared" si="21"/>
        <v>0.19660028989020548</v>
      </c>
      <c r="J71" s="295">
        <f t="shared" si="17"/>
        <v>25402604.395072427</v>
      </c>
      <c r="K71" s="297">
        <f t="shared" si="18"/>
        <v>0</v>
      </c>
      <c r="L71" s="297">
        <f t="shared" si="16"/>
        <v>0</v>
      </c>
      <c r="M71" s="299">
        <f t="shared" si="14"/>
        <v>25402604.395072427</v>
      </c>
      <c r="N71" s="300">
        <f t="shared" si="22"/>
        <v>1576408.3950724266</v>
      </c>
      <c r="O71" s="301">
        <f t="shared" si="23"/>
        <v>6.6162823266980031E-2</v>
      </c>
    </row>
    <row r="72" spans="1:15" ht="21" x14ac:dyDescent="0.45">
      <c r="A72" s="302" t="s">
        <v>561</v>
      </c>
      <c r="B72" s="294">
        <v>75117119</v>
      </c>
      <c r="C72" s="294"/>
      <c r="D72" s="295">
        <f>'Base $'!N75</f>
        <v>48416329.131417774</v>
      </c>
      <c r="E72" s="296">
        <f t="shared" si="19"/>
        <v>0.69076939061632525</v>
      </c>
      <c r="F72" s="295">
        <f>'Supplement $'!E73</f>
        <v>9006775.8834194969</v>
      </c>
      <c r="G72" s="296">
        <f t="shared" si="20"/>
        <v>0.12850220576450616</v>
      </c>
      <c r="H72" s="297">
        <f>'Success $'!R73</f>
        <v>12667332.965078522</v>
      </c>
      <c r="I72" s="298">
        <f t="shared" si="21"/>
        <v>0.18072840361916853</v>
      </c>
      <c r="J72" s="295">
        <f t="shared" si="17"/>
        <v>70090437.979915798</v>
      </c>
      <c r="K72" s="297">
        <f t="shared" si="18"/>
        <v>-5026681.0200842023</v>
      </c>
      <c r="L72" s="297"/>
      <c r="M72" s="299">
        <f t="shared" si="14"/>
        <v>75117119</v>
      </c>
      <c r="N72" s="300">
        <f t="shared" si="22"/>
        <v>0</v>
      </c>
      <c r="O72" s="301">
        <f t="shared" si="23"/>
        <v>0</v>
      </c>
    </row>
    <row r="73" spans="1:15" ht="18.5" x14ac:dyDescent="0.45">
      <c r="A73" s="302" t="s">
        <v>227</v>
      </c>
      <c r="B73" s="294">
        <v>95601426</v>
      </c>
      <c r="C73" s="294"/>
      <c r="D73" s="295">
        <f>'Base $'!N76</f>
        <v>58186102.822899073</v>
      </c>
      <c r="E73" s="296">
        <f t="shared" si="19"/>
        <v>0.56706213291104213</v>
      </c>
      <c r="F73" s="295">
        <f>'Supplement $'!E74</f>
        <v>25975360.679443546</v>
      </c>
      <c r="G73" s="296">
        <f t="shared" si="20"/>
        <v>0.25314710412641761</v>
      </c>
      <c r="H73" s="297">
        <f>'Success $'!R74</f>
        <v>18448284.964192744</v>
      </c>
      <c r="I73" s="298">
        <f t="shared" si="21"/>
        <v>0.17979076296254032</v>
      </c>
      <c r="J73" s="295">
        <f t="shared" si="17"/>
        <v>102609748.46653536</v>
      </c>
      <c r="K73" s="297">
        <f t="shared" si="18"/>
        <v>0</v>
      </c>
      <c r="L73" s="297">
        <f>IF(((J73-B73)/B73)&lt;0,(0.0271*B73),IF(((J73-B73)/B73)&lt;0.027,((0.0271-(J73-B73)/B73)*B73),0))</f>
        <v>0</v>
      </c>
      <c r="M73" s="299">
        <f t="shared" si="14"/>
        <v>102609748.46653536</v>
      </c>
      <c r="N73" s="300">
        <f t="shared" si="22"/>
        <v>7008322.4665353596</v>
      </c>
      <c r="O73" s="301">
        <f t="shared" si="23"/>
        <v>7.330771893021093E-2</v>
      </c>
    </row>
    <row r="74" spans="1:15" ht="19" thickBot="1" x14ac:dyDescent="0.5">
      <c r="A74" s="312" t="s">
        <v>228</v>
      </c>
      <c r="B74" s="313">
        <v>49594659</v>
      </c>
      <c r="C74" s="313"/>
      <c r="D74" s="314">
        <f>'Base $'!N77</f>
        <v>33297024.755399708</v>
      </c>
      <c r="E74" s="315">
        <f t="shared" si="19"/>
        <v>0.59814223102966046</v>
      </c>
      <c r="F74" s="314">
        <f>'Supplement $'!E75</f>
        <v>11796190.658775065</v>
      </c>
      <c r="G74" s="315">
        <f t="shared" si="20"/>
        <v>0.21190481282105345</v>
      </c>
      <c r="H74" s="316">
        <f>'Success $'!R75</f>
        <v>10574187.802082304</v>
      </c>
      <c r="I74" s="317">
        <f t="shared" si="21"/>
        <v>0.18995295614928601</v>
      </c>
      <c r="J74" s="314">
        <f t="shared" si="17"/>
        <v>55667403.21625708</v>
      </c>
      <c r="K74" s="316">
        <f t="shared" si="18"/>
        <v>0</v>
      </c>
      <c r="L74" s="316">
        <f>IF(((J74-B74)/B74)&lt;0,(0.0271*B74),IF(((J74-B74)/B74)&lt;0.027,((0.0271-(J74-B74)/B74)*B74),0))</f>
        <v>0</v>
      </c>
      <c r="M74" s="318">
        <f t="shared" si="14"/>
        <v>55667403.21625708</v>
      </c>
      <c r="N74" s="319">
        <f t="shared" si="22"/>
        <v>6072744.2162570804</v>
      </c>
      <c r="O74" s="320">
        <f t="shared" si="23"/>
        <v>0.12244754452807267</v>
      </c>
    </row>
    <row r="75" spans="1:15" ht="18.5" x14ac:dyDescent="0.45">
      <c r="A75" s="321"/>
      <c r="B75" s="322"/>
      <c r="C75" s="322"/>
      <c r="D75" s="323"/>
      <c r="E75" s="323"/>
      <c r="F75" s="323"/>
      <c r="G75" s="323"/>
      <c r="H75" s="323"/>
      <c r="I75" s="323"/>
      <c r="J75" s="323"/>
      <c r="K75" s="323"/>
      <c r="L75" s="323"/>
      <c r="M75" s="323"/>
      <c r="N75" s="323"/>
      <c r="O75" s="323"/>
    </row>
    <row r="76" spans="1:15" s="195" customFormat="1" ht="18.5" x14ac:dyDescent="0.45">
      <c r="A76" s="324" t="s">
        <v>154</v>
      </c>
      <c r="B76" s="325">
        <f>SUM(B3:B74)</f>
        <v>6728414033</v>
      </c>
      <c r="C76" s="325"/>
      <c r="D76" s="326">
        <f>SUM(D3:D74)</f>
        <v>4240951188.2617621</v>
      </c>
      <c r="E76" s="326"/>
      <c r="F76" s="326">
        <f>SUM(F3:F74)</f>
        <v>1413607420.5630205</v>
      </c>
      <c r="G76" s="326"/>
      <c r="H76" s="326">
        <f>SUM(H3:H74)</f>
        <v>1413607420.56302</v>
      </c>
      <c r="I76" s="326"/>
      <c r="J76" s="327">
        <f>SUM(J3:J74)</f>
        <v>7068166029.3878002</v>
      </c>
      <c r="K76" s="328">
        <f>SUM(K3:K74)-(K31+K34+K53+K55+K65+K72)</f>
        <v>-62064337.732624963</v>
      </c>
      <c r="L76" s="328">
        <f>SUM(L3:L74)</f>
        <v>42904048.729950361</v>
      </c>
      <c r="M76" s="328">
        <f>SUM(M3:M74)</f>
        <v>7184842088.2666702</v>
      </c>
      <c r="N76" s="326">
        <f>SUM(N3:N74)</f>
        <v>456428055.26667166</v>
      </c>
      <c r="O76" s="326"/>
    </row>
    <row r="78" spans="1:15" hidden="1" x14ac:dyDescent="0.35">
      <c r="B78" s="209" t="s">
        <v>472</v>
      </c>
      <c r="D78" s="211">
        <v>7055896790</v>
      </c>
      <c r="H78" s="200">
        <f>D76+F76+H76</f>
        <v>7068166029.3878021</v>
      </c>
      <c r="J78" s="200">
        <f>D76+F76+H76</f>
        <v>7068166029.3878021</v>
      </c>
      <c r="K78" s="200">
        <f>L76-K76</f>
        <v>104968386.46257532</v>
      </c>
      <c r="M78" s="200">
        <f>J78+K78</f>
        <v>7173134415.8503771</v>
      </c>
    </row>
    <row r="79" spans="1:15" hidden="1" x14ac:dyDescent="0.35">
      <c r="B79" s="209" t="s">
        <v>513</v>
      </c>
      <c r="D79" s="211">
        <f>J76-K76</f>
        <v>7130230367.1204252</v>
      </c>
    </row>
    <row r="80" spans="1:15" hidden="1" x14ac:dyDescent="0.35">
      <c r="B80" s="209" t="s">
        <v>473</v>
      </c>
      <c r="D80" s="211">
        <f>D79-D78</f>
        <v>74333577.120425224</v>
      </c>
      <c r="J80" s="200"/>
    </row>
    <row r="81" spans="1:15" hidden="1" x14ac:dyDescent="0.35"/>
    <row r="82" spans="1:15" hidden="1" x14ac:dyDescent="0.35">
      <c r="A82" s="237" t="s">
        <v>474</v>
      </c>
      <c r="B82" s="210" t="s">
        <v>344</v>
      </c>
      <c r="D82" s="194">
        <f>MacroInformation!D29</f>
        <v>2.7099999999999999E-2</v>
      </c>
    </row>
    <row r="83" spans="1:15" hidden="1" x14ac:dyDescent="0.35">
      <c r="B83" s="210" t="s">
        <v>346</v>
      </c>
      <c r="D83" s="194">
        <f>MacroInformation!D30</f>
        <v>2.5700000000000001E-2</v>
      </c>
    </row>
    <row r="84" spans="1:15" hidden="1" x14ac:dyDescent="0.35">
      <c r="B84" s="210" t="s">
        <v>348</v>
      </c>
      <c r="D84" s="194">
        <f>MacroInformation!D31</f>
        <v>2.6700000000000002E-2</v>
      </c>
    </row>
    <row r="85" spans="1:15" x14ac:dyDescent="0.35">
      <c r="B85" s="210"/>
      <c r="D85" s="194"/>
    </row>
    <row r="86" spans="1:15" ht="9" customHeight="1" x14ac:dyDescent="0.35">
      <c r="A86" s="257" t="s">
        <v>506</v>
      </c>
      <c r="B86" s="257"/>
      <c r="C86" s="257"/>
      <c r="D86" s="257"/>
      <c r="E86" s="257"/>
      <c r="F86" s="257"/>
      <c r="G86" s="257"/>
      <c r="H86" s="257"/>
      <c r="I86" s="257"/>
      <c r="J86" s="257"/>
      <c r="K86" s="257"/>
      <c r="L86" s="257"/>
      <c r="M86" s="257"/>
      <c r="N86" s="257"/>
      <c r="O86" s="257"/>
    </row>
    <row r="87" spans="1:15" ht="35.25" customHeight="1" x14ac:dyDescent="0.35">
      <c r="A87" s="257"/>
      <c r="B87" s="257"/>
      <c r="C87" s="257"/>
      <c r="D87" s="257"/>
      <c r="E87" s="257"/>
      <c r="F87" s="257"/>
      <c r="G87" s="257"/>
      <c r="H87" s="257"/>
      <c r="I87" s="257"/>
      <c r="J87" s="257"/>
      <c r="K87" s="257"/>
      <c r="L87" s="257"/>
      <c r="M87" s="257"/>
      <c r="N87" s="257"/>
      <c r="O87" s="257"/>
    </row>
    <row r="88" spans="1:15" ht="42" customHeight="1" x14ac:dyDescent="0.35">
      <c r="A88" s="257" t="s">
        <v>507</v>
      </c>
      <c r="B88" s="257"/>
      <c r="C88" s="257"/>
      <c r="D88" s="257"/>
      <c r="E88" s="257"/>
      <c r="F88" s="257"/>
      <c r="G88" s="257"/>
      <c r="H88" s="257"/>
      <c r="I88" s="257"/>
      <c r="J88" s="257"/>
      <c r="K88" s="257"/>
      <c r="L88" s="257"/>
      <c r="M88" s="257"/>
      <c r="N88" s="257"/>
      <c r="O88" s="257"/>
    </row>
    <row r="89" spans="1:15" ht="21" customHeight="1" x14ac:dyDescent="0.35">
      <c r="A89" s="3" t="s">
        <v>512</v>
      </c>
    </row>
  </sheetData>
  <mergeCells count="3">
    <mergeCell ref="D1:O1"/>
    <mergeCell ref="A86:O87"/>
    <mergeCell ref="A88:O88"/>
  </mergeCells>
  <pageMargins left="0.7" right="0.7"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81"/>
  <sheetViews>
    <sheetView zoomScale="85" zoomScaleNormal="85" workbookViewId="0">
      <pane ySplit="5" topLeftCell="A6" activePane="bottomLeft" state="frozen"/>
      <selection pane="bottomLeft" activeCell="F12" sqref="F12"/>
    </sheetView>
  </sheetViews>
  <sheetFormatPr defaultRowHeight="14.5" x14ac:dyDescent="0.35"/>
  <cols>
    <col min="1" max="1" width="34.453125" style="3" customWidth="1"/>
    <col min="2" max="2" width="16.54296875" style="3" customWidth="1"/>
    <col min="3" max="3" width="5.6328125" customWidth="1"/>
    <col min="4" max="4" width="16.90625" customWidth="1"/>
    <col min="5" max="5" width="15.36328125" bestFit="1" customWidth="1"/>
    <col min="6" max="6" width="16" customWidth="1"/>
    <col min="7" max="7" width="14.36328125" bestFit="1" customWidth="1"/>
    <col min="8" max="8" width="16.36328125" bestFit="1" customWidth="1"/>
    <col min="9" max="9" width="15" bestFit="1" customWidth="1"/>
    <col min="10" max="10" width="21.90625" bestFit="1" customWidth="1"/>
    <col min="11" max="11" width="12.54296875" bestFit="1" customWidth="1"/>
    <col min="12" max="12" width="11.54296875" bestFit="1" customWidth="1"/>
    <col min="14" max="14" width="15.36328125" bestFit="1" customWidth="1"/>
    <col min="15" max="16" width="9.08984375" customWidth="1"/>
  </cols>
  <sheetData>
    <row r="1" spans="1:15" s="195" customFormat="1" ht="44.25" customHeight="1" x14ac:dyDescent="0.35">
      <c r="A1" s="258" t="s">
        <v>533</v>
      </c>
      <c r="B1" s="258"/>
      <c r="C1" s="258"/>
      <c r="D1" s="258"/>
      <c r="E1" s="258"/>
      <c r="F1" s="258"/>
      <c r="G1" s="215"/>
      <c r="H1" s="215"/>
      <c r="I1" s="214"/>
      <c r="J1" s="214"/>
      <c r="K1" s="214"/>
      <c r="L1" s="214"/>
      <c r="M1" s="214"/>
      <c r="N1" s="214"/>
    </row>
    <row r="2" spans="1:15" ht="37.5" customHeight="1" x14ac:dyDescent="0.35">
      <c r="A2" s="259" t="s">
        <v>479</v>
      </c>
      <c r="B2" s="259"/>
      <c r="C2" s="259"/>
      <c r="D2" s="259"/>
      <c r="E2" s="259"/>
      <c r="F2" s="259"/>
      <c r="G2" s="259"/>
      <c r="H2" s="235"/>
      <c r="N2" s="200"/>
    </row>
    <row r="3" spans="1:15" ht="23.25" customHeight="1" x14ac:dyDescent="0.35">
      <c r="B3" s="261" t="s">
        <v>449</v>
      </c>
      <c r="C3" s="261"/>
      <c r="D3" s="262">
        <f>WeightingFactors!C6</f>
        <v>3023.7748820332131</v>
      </c>
      <c r="E3" s="262"/>
      <c r="F3" s="262">
        <f>WeightingFactors!$J$13</f>
        <v>3347.4928778324879</v>
      </c>
      <c r="G3" s="262"/>
      <c r="H3" s="262">
        <f>WeightingFactors!$J$14</f>
        <v>5456.6730341283155</v>
      </c>
      <c r="I3" s="262"/>
      <c r="J3" s="162">
        <f>WeightingFactors!$J$15</f>
        <v>5456.6730341283155</v>
      </c>
      <c r="K3" s="158">
        <f>WeightingFactors!$J$15</f>
        <v>5456.6730341283155</v>
      </c>
      <c r="L3" s="156"/>
    </row>
    <row r="4" spans="1:15" s="160" customFormat="1" ht="21.75" customHeight="1" x14ac:dyDescent="0.35">
      <c r="A4" s="163"/>
      <c r="B4" s="222"/>
      <c r="C4" s="164"/>
      <c r="D4" s="260" t="s">
        <v>368</v>
      </c>
      <c r="E4" s="260"/>
      <c r="F4" s="260" t="s">
        <v>447</v>
      </c>
      <c r="G4" s="260"/>
      <c r="H4" s="260" t="s">
        <v>448</v>
      </c>
      <c r="I4" s="260"/>
      <c r="J4" s="149" t="s">
        <v>450</v>
      </c>
      <c r="K4" s="260" t="s">
        <v>463</v>
      </c>
      <c r="L4" s="260"/>
    </row>
    <row r="5" spans="1:15" s="60" customFormat="1" ht="42" customHeight="1" x14ac:dyDescent="0.35">
      <c r="A5" s="22" t="s">
        <v>155</v>
      </c>
      <c r="B5" s="49" t="s">
        <v>478</v>
      </c>
      <c r="D5" s="60" t="s">
        <v>441</v>
      </c>
      <c r="E5" s="60" t="s">
        <v>444</v>
      </c>
      <c r="F5" s="60" t="s">
        <v>442</v>
      </c>
      <c r="G5" s="60" t="s">
        <v>445</v>
      </c>
      <c r="H5" s="60" t="s">
        <v>443</v>
      </c>
      <c r="I5" s="60" t="s">
        <v>446</v>
      </c>
      <c r="J5" s="60" t="s">
        <v>451</v>
      </c>
      <c r="K5" s="60" t="s">
        <v>452</v>
      </c>
      <c r="L5" s="60" t="s">
        <v>453</v>
      </c>
      <c r="N5" s="60" t="s">
        <v>454</v>
      </c>
    </row>
    <row r="6" spans="1:15" ht="15.5" x14ac:dyDescent="0.35">
      <c r="A6" s="52" t="s">
        <v>157</v>
      </c>
      <c r="B6" s="151">
        <f>'Base-BasicAllocations'!L4</f>
        <v>6247561.7390999999</v>
      </c>
      <c r="D6" s="198">
        <f>('Base-AllFTES Data'!AP4-'Base-AllFTES Data'!W4)*'Base $'!$D$3</f>
        <v>25499868.87096595</v>
      </c>
      <c r="E6" s="198">
        <f>'Base-AllFTES Data'!W4*'Base $'!$D$3</f>
        <v>0</v>
      </c>
      <c r="F6" s="198">
        <f>('Base-AllFTES Data'!AQ4-'Base-AllFTES Data'!X4)*'Base $'!$F$3</f>
        <v>1608396.0804064802</v>
      </c>
      <c r="G6" s="198">
        <f>'Base-AllFTES Data'!X4*'Base $'!$F$3</f>
        <v>0</v>
      </c>
      <c r="H6" s="139">
        <f>('Base-AllFTES Data'!AR4-'Base-AllFTES Data'!Y4)*'Base $'!$H$3</f>
        <v>1605291.2042837548</v>
      </c>
      <c r="I6" s="139">
        <f>'Base-AllFTES Data'!Y4*'Base $'!$H$3</f>
        <v>0</v>
      </c>
      <c r="J6" s="139">
        <f>'Base-AllFTES Data'!AL4*'Base $'!$J$3</f>
        <v>2323233.1110104714</v>
      </c>
      <c r="K6" s="139">
        <f>'Base-AllFTES Data'!AN4*$K$3</f>
        <v>581135.67813466559</v>
      </c>
      <c r="L6" s="139">
        <f>'Base-AllFTES Data'!AO4*WeightingFactors!$J$13</f>
        <v>0</v>
      </c>
      <c r="M6" s="139"/>
      <c r="N6" s="139">
        <f>SUM(B6:L6)</f>
        <v>37865486.683901317</v>
      </c>
      <c r="O6" s="139"/>
    </row>
    <row r="7" spans="1:15" ht="15.5" x14ac:dyDescent="0.35">
      <c r="A7" s="54" t="s">
        <v>158</v>
      </c>
      <c r="B7" s="151">
        <f>'Base-BasicAllocations'!L5</f>
        <v>6247561.7390999999</v>
      </c>
      <c r="D7" s="198">
        <f>('Base-AllFTES Data'!AP5-'Base-AllFTES Data'!W5)*'Base $'!$D$3</f>
        <v>30756295.974851999</v>
      </c>
      <c r="E7" s="198">
        <f>'Base-AllFTES Data'!W5*'Base $'!$D$3</f>
        <v>0</v>
      </c>
      <c r="F7" s="198">
        <f>('Base-AllFTES Data'!AQ5-'Base-AllFTES Data'!X5)*'Base $'!$F$3</f>
        <v>144745.59203747677</v>
      </c>
      <c r="G7" s="198">
        <f>'Base-AllFTES Data'!X5*'Base $'!$F$3</f>
        <v>0</v>
      </c>
      <c r="H7" s="139">
        <f>('Base-AllFTES Data'!AR5-'Base-AllFTES Data'!Y5)*'Base $'!$H$3</f>
        <v>227106.73168042052</v>
      </c>
      <c r="I7" s="139">
        <f>'Base-AllFTES Data'!Y5*'Base $'!$H$3</f>
        <v>0</v>
      </c>
      <c r="J7" s="139">
        <f>'Base-AllFTES Data'!AL5*'Base $'!$J$3</f>
        <v>1651189.2601272285</v>
      </c>
      <c r="K7" s="139">
        <f>'Base-AllFTES Data'!AN5*$K$3</f>
        <v>47363.921936233775</v>
      </c>
      <c r="L7" s="139">
        <f>'Base-AllFTES Data'!AO5*WeightingFactors!$J$13</f>
        <v>0</v>
      </c>
      <c r="M7" s="139"/>
      <c r="N7" s="198">
        <f t="shared" ref="N7:N70" si="0">SUM(B7:L7)</f>
        <v>39074263.219733365</v>
      </c>
      <c r="O7" s="139"/>
    </row>
    <row r="8" spans="1:15" ht="15.5" x14ac:dyDescent="0.35">
      <c r="A8" s="54" t="s">
        <v>159</v>
      </c>
      <c r="B8" s="151">
        <f>'Base-BasicAllocations'!L6</f>
        <v>4940799.8697999995</v>
      </c>
      <c r="D8" s="198">
        <f>('Base-AllFTES Data'!AP6-'Base-AllFTES Data'!W6)*'Base $'!$D$3</f>
        <v>7609208.3521672552</v>
      </c>
      <c r="E8" s="198">
        <f>'Base-AllFTES Data'!W6*'Base $'!$D$3</f>
        <v>0</v>
      </c>
      <c r="F8" s="198">
        <f>('Base-AllFTES Data'!AQ6-'Base-AllFTES Data'!X6)*'Base $'!$F$3</f>
        <v>88373.811974777665</v>
      </c>
      <c r="G8" s="198">
        <f>'Base-AllFTES Data'!X6*'Base $'!$F$3</f>
        <v>0</v>
      </c>
      <c r="H8" s="139">
        <f>('Base-AllFTES Data'!AR6-'Base-AllFTES Data'!Y6)*'Base $'!$H$3</f>
        <v>0</v>
      </c>
      <c r="I8" s="139">
        <f>'Base-AllFTES Data'!Y6*'Base $'!$H$3</f>
        <v>0</v>
      </c>
      <c r="J8" s="139">
        <f>'Base-AllFTES Data'!AL6*'Base $'!$J$3</f>
        <v>213956.14966817125</v>
      </c>
      <c r="K8" s="139">
        <f>'Base-AllFTES Data'!AN6*$K$3</f>
        <v>0</v>
      </c>
      <c r="L8" s="139">
        <f>'Base-AllFTES Data'!AO6*WeightingFactors!$J$13</f>
        <v>0</v>
      </c>
      <c r="M8" s="139"/>
      <c r="N8" s="198">
        <f t="shared" si="0"/>
        <v>12852338.183610203</v>
      </c>
      <c r="O8" s="139"/>
    </row>
    <row r="9" spans="1:15" ht="15.5" x14ac:dyDescent="0.35">
      <c r="A9" s="54" t="s">
        <v>160</v>
      </c>
      <c r="B9" s="151">
        <f>'Base-BasicAllocations'!L7</f>
        <v>6247561.7390999999</v>
      </c>
      <c r="D9" s="198">
        <f>('Base-AllFTES Data'!AP7-'Base-AllFTES Data'!W7)*'Base $'!$D$3</f>
        <v>26619630.826736074</v>
      </c>
      <c r="E9" s="198">
        <f>'Base-AllFTES Data'!W7*'Base $'!$D$3</f>
        <v>263038.1769880692</v>
      </c>
      <c r="F9" s="198">
        <f>('Base-AllFTES Data'!AQ7-'Base-AllFTES Data'!X7)*'Base $'!$F$3</f>
        <v>3879364.8628816996</v>
      </c>
      <c r="G9" s="198">
        <f>'Base-AllFTES Data'!X7*'Base $'!$F$3</f>
        <v>-433600.75246564217</v>
      </c>
      <c r="H9" s="139">
        <f>('Base-AllFTES Data'!AR7-'Base-AllFTES Data'!Y7)*'Base $'!$H$3</f>
        <v>94800.599512922636</v>
      </c>
      <c r="I9" s="139">
        <f>'Base-AllFTES Data'!Y7*'Base $'!$H$3</f>
        <v>-49655.724610567668</v>
      </c>
      <c r="J9" s="139">
        <f>'Base-AllFTES Data'!AL7*'Base $'!$J$3</f>
        <v>939202.56263416575</v>
      </c>
      <c r="K9" s="139">
        <f>'Base-AllFTES Data'!AN7*$K$3</f>
        <v>0</v>
      </c>
      <c r="L9" s="139">
        <f>'Base-AllFTES Data'!AO7*WeightingFactors!$J$13</f>
        <v>0</v>
      </c>
      <c r="M9" s="139"/>
      <c r="N9" s="198">
        <f t="shared" si="0"/>
        <v>37560342.290776715</v>
      </c>
      <c r="O9" s="139"/>
    </row>
    <row r="10" spans="1:15" ht="15.5" x14ac:dyDescent="0.35">
      <c r="A10" s="54" t="s">
        <v>161</v>
      </c>
      <c r="B10" s="151">
        <f>'Base-BasicAllocations'!L8</f>
        <v>6247561.7390999999</v>
      </c>
      <c r="D10" s="198">
        <f>('Base-AllFTES Data'!AP8-'Base-AllFTES Data'!W8)*'Base $'!$D$3</f>
        <v>30032192.603851508</v>
      </c>
      <c r="E10" s="198">
        <f>'Base-AllFTES Data'!W8*'Base $'!$D$3</f>
        <v>0</v>
      </c>
      <c r="F10" s="198">
        <f>('Base-AllFTES Data'!AQ8-'Base-AllFTES Data'!X8)*'Base $'!$F$3</f>
        <v>465569.30944894248</v>
      </c>
      <c r="G10" s="198">
        <f>'Base-AllFTES Data'!X8*'Base $'!$F$3</f>
        <v>-214808.61797051076</v>
      </c>
      <c r="H10" s="139">
        <f>('Base-AllFTES Data'!AR8-'Base-AllFTES Data'!Y8)*'Base $'!$H$3</f>
        <v>202648.10425044605</v>
      </c>
      <c r="I10" s="139">
        <f>'Base-AllFTES Data'!Y8*'Base $'!$H$3</f>
        <v>210556.64236790934</v>
      </c>
      <c r="J10" s="139">
        <f>'Base-AllFTES Data'!AL8*'Base $'!$J$3</f>
        <v>1638584.345418392</v>
      </c>
      <c r="K10" s="139">
        <f>'Base-AllFTES Data'!AN8*$K$3</f>
        <v>0</v>
      </c>
      <c r="L10" s="139">
        <f>'Base-AllFTES Data'!AO8*WeightingFactors!$J$13</f>
        <v>0</v>
      </c>
      <c r="M10" s="139"/>
      <c r="N10" s="198">
        <f t="shared" si="0"/>
        <v>38582304.126466684</v>
      </c>
      <c r="O10" s="139"/>
    </row>
    <row r="11" spans="1:15" ht="15.5" x14ac:dyDescent="0.35">
      <c r="A11" s="54" t="s">
        <v>162</v>
      </c>
      <c r="B11" s="151">
        <f>'Base-BasicAllocations'!L9</f>
        <v>4998049.3966999995</v>
      </c>
      <c r="D11" s="198">
        <f>('Base-AllFTES Data'!AP9-'Base-AllFTES Data'!W9)*'Base $'!$D$3</f>
        <v>43800407.249710985</v>
      </c>
      <c r="E11" s="198">
        <f>'Base-AllFTES Data'!W9*'Base $'!$D$3</f>
        <v>0</v>
      </c>
      <c r="F11" s="198">
        <f>('Base-AllFTES Data'!AQ9-'Base-AllFTES Data'!X9)*'Base $'!$F$3</f>
        <v>6799784.5993603179</v>
      </c>
      <c r="G11" s="198">
        <f>'Base-AllFTES Data'!X9*'Base $'!$F$3</f>
        <v>0</v>
      </c>
      <c r="H11" s="139">
        <f>('Base-AllFTES Data'!AR9-'Base-AllFTES Data'!Y9)*'Base $'!$H$3</f>
        <v>1011521.6692464795</v>
      </c>
      <c r="I11" s="139">
        <f>'Base-AllFTES Data'!Y9*'Base $'!$H$3</f>
        <v>0</v>
      </c>
      <c r="J11" s="139">
        <f>'Base-AllFTES Data'!AL9*'Base $'!$J$3</f>
        <v>442427.04960712383</v>
      </c>
      <c r="K11" s="139">
        <f>'Base-AllFTES Data'!AN9*$K$3</f>
        <v>0</v>
      </c>
      <c r="L11" s="139">
        <f>'Base-AllFTES Data'!AO9*WeightingFactors!$J$13</f>
        <v>0</v>
      </c>
      <c r="M11" s="139"/>
      <c r="N11" s="198">
        <f t="shared" si="0"/>
        <v>57052189.964624904</v>
      </c>
      <c r="O11" s="139"/>
    </row>
    <row r="12" spans="1:15" ht="15.5" x14ac:dyDescent="0.35">
      <c r="A12" s="54" t="s">
        <v>163</v>
      </c>
      <c r="B12" s="151">
        <f>'Base-BasicAllocations'!L10</f>
        <v>8121828.1984999999</v>
      </c>
      <c r="D12" s="198">
        <f>('Base-AllFTES Data'!AP10-'Base-AllFTES Data'!W10)*'Base $'!$D$3</f>
        <v>49955664.203658976</v>
      </c>
      <c r="E12" s="198">
        <f>'Base-AllFTES Data'!W10*'Base $'!$D$3</f>
        <v>129499.20687283641</v>
      </c>
      <c r="F12" s="198">
        <f>('Base-AllFTES Data'!AQ10-'Base-AllFTES Data'!X10)*'Base $'!$F$3</f>
        <v>392473.14923090936</v>
      </c>
      <c r="G12" s="198">
        <f>'Base-AllFTES Data'!X10*'Base $'!$F$3</f>
        <v>-238408.44275922977</v>
      </c>
      <c r="H12" s="139">
        <f>('Base-AllFTES Data'!AR10-'Base-AllFTES Data'!Y10)*'Base $'!$H$3</f>
        <v>0</v>
      </c>
      <c r="I12" s="139">
        <f>'Base-AllFTES Data'!Y10*'Base $'!$H$3</f>
        <v>0</v>
      </c>
      <c r="J12" s="139">
        <f>'Base-AllFTES Data'!AL10*'Base $'!$J$3</f>
        <v>1032675.3717087837</v>
      </c>
      <c r="K12" s="139">
        <f>'Base-AllFTES Data'!AN10*$K$3</f>
        <v>0</v>
      </c>
      <c r="L12" s="139">
        <f>'Base-AllFTES Data'!AO10*WeightingFactors!$J$13</f>
        <v>0</v>
      </c>
      <c r="M12" s="139"/>
      <c r="N12" s="198">
        <f t="shared" si="0"/>
        <v>59393731.687212273</v>
      </c>
      <c r="O12" s="139"/>
    </row>
    <row r="13" spans="1:15" ht="15.5" x14ac:dyDescent="0.35">
      <c r="A13" s="54" t="s">
        <v>164</v>
      </c>
      <c r="B13" s="151">
        <f>'Base-BasicAllocations'!L11</f>
        <v>7497074.0814999994</v>
      </c>
      <c r="D13" s="198">
        <f>('Base-AllFTES Data'!AP11-'Base-AllFTES Data'!W11)*'Base $'!$D$3</f>
        <v>47995068.339588813</v>
      </c>
      <c r="E13" s="198">
        <f>'Base-AllFTES Data'!W11*'Base $'!$D$3</f>
        <v>16630.761851182673</v>
      </c>
      <c r="F13" s="198">
        <f>('Base-AllFTES Data'!AQ11-'Base-AllFTES Data'!X11)*'Base $'!$F$3</f>
        <v>1276979.266416352</v>
      </c>
      <c r="G13" s="198">
        <f>'Base-AllFTES Data'!X11*'Base $'!$F$3</f>
        <v>-19114.184332423505</v>
      </c>
      <c r="H13" s="139">
        <f>('Base-AllFTES Data'!AR11-'Base-AllFTES Data'!Y11)*'Base $'!$H$3</f>
        <v>0</v>
      </c>
      <c r="I13" s="139">
        <f>'Base-AllFTES Data'!Y11*'Base $'!$H$3</f>
        <v>0</v>
      </c>
      <c r="J13" s="139">
        <f>'Base-AllFTES Data'!AL11*'Base $'!$J$3</f>
        <v>715478.96823490481</v>
      </c>
      <c r="K13" s="139">
        <f>'Base-AllFTES Data'!AN11*$K$3</f>
        <v>0</v>
      </c>
      <c r="L13" s="139">
        <f>'Base-AllFTES Data'!AO11*WeightingFactors!$J$13</f>
        <v>0</v>
      </c>
      <c r="M13" s="139"/>
      <c r="N13" s="198">
        <f t="shared" si="0"/>
        <v>57482117.233258829</v>
      </c>
      <c r="O13" s="139"/>
    </row>
    <row r="14" spans="1:15" ht="15.5" x14ac:dyDescent="0.35">
      <c r="A14" s="54" t="s">
        <v>165</v>
      </c>
      <c r="B14" s="151">
        <f>'Base-BasicAllocations'!L12</f>
        <v>4998049.3966999995</v>
      </c>
      <c r="D14" s="198">
        <f>('Base-AllFTES Data'!AP12-'Base-AllFTES Data'!W12)*'Base $'!$D$3</f>
        <v>34761033.701897979</v>
      </c>
      <c r="E14" s="198">
        <f>'Base-AllFTES Data'!W12*'Base $'!$D$3</f>
        <v>711857.08272825903</v>
      </c>
      <c r="F14" s="198">
        <f>('Base-AllFTES Data'!AQ12-'Base-AllFTES Data'!X12)*'Base $'!$F$3</f>
        <v>834351.44149015471</v>
      </c>
      <c r="G14" s="198">
        <f>'Base-AllFTES Data'!X12*'Base $'!$F$3</f>
        <v>151373.6279355851</v>
      </c>
      <c r="H14" s="139">
        <f>('Base-AllFTES Data'!AR12-'Base-AllFTES Data'!Y12)*'Base $'!$H$3</f>
        <v>397936.97546886432</v>
      </c>
      <c r="I14" s="139">
        <f>'Base-AllFTES Data'!Y12*'Base $'!$H$3</f>
        <v>-334876.02410445473</v>
      </c>
      <c r="J14" s="139">
        <f>'Base-AllFTES Data'!AL12*'Base $'!$J$3</f>
        <v>705493.25658244989</v>
      </c>
      <c r="K14" s="139">
        <f>'Base-AllFTES Data'!AN12*$K$3</f>
        <v>0</v>
      </c>
      <c r="L14" s="139">
        <f>'Base-AllFTES Data'!AO12*WeightingFactors!$J$13</f>
        <v>0</v>
      </c>
      <c r="M14" s="139"/>
      <c r="N14" s="198">
        <f t="shared" si="0"/>
        <v>42225219.458698846</v>
      </c>
      <c r="O14" s="139"/>
    </row>
    <row r="15" spans="1:15" ht="15.5" x14ac:dyDescent="0.35">
      <c r="A15" s="54" t="s">
        <v>166</v>
      </c>
      <c r="B15" s="151">
        <f>'Base-BasicAllocations'!L13</f>
        <v>12495121.3969</v>
      </c>
      <c r="D15" s="198">
        <f>('Base-AllFTES Data'!AP13-'Base-AllFTES Data'!W13)*'Base $'!$D$3</f>
        <v>94915182.450862899</v>
      </c>
      <c r="E15" s="198">
        <f>'Base-AllFTES Data'!W13*'Base $'!$D$3</f>
        <v>0</v>
      </c>
      <c r="F15" s="198">
        <f>('Base-AllFTES Data'!AQ13-'Base-AllFTES Data'!X13)*'Base $'!$F$3</f>
        <v>1143672.3588167878</v>
      </c>
      <c r="G15" s="198">
        <f>'Base-AllFTES Data'!X13*'Base $'!$F$3</f>
        <v>0</v>
      </c>
      <c r="H15" s="139">
        <f>('Base-AllFTES Data'!AR13-'Base-AllFTES Data'!Y13)*'Base $'!$H$3</f>
        <v>0</v>
      </c>
      <c r="I15" s="139">
        <f>'Base-AllFTES Data'!Y13*'Base $'!$H$3</f>
        <v>0</v>
      </c>
      <c r="J15" s="139">
        <f>'Base-AllFTES Data'!AL13*'Base $'!$J$3</f>
        <v>427912.29933634249</v>
      </c>
      <c r="K15" s="139">
        <f>'Base-AllFTES Data'!AN13*$K$3</f>
        <v>0</v>
      </c>
      <c r="L15" s="139">
        <f>'Base-AllFTES Data'!AO13*WeightingFactors!$J$13</f>
        <v>0</v>
      </c>
      <c r="M15" s="139"/>
      <c r="N15" s="198">
        <f t="shared" si="0"/>
        <v>108981888.50591603</v>
      </c>
      <c r="O15" s="139"/>
    </row>
    <row r="16" spans="1:15" ht="15.5" x14ac:dyDescent="0.35">
      <c r="A16" s="54" t="s">
        <v>167</v>
      </c>
      <c r="B16" s="151">
        <f>'Base-BasicAllocations'!L14</f>
        <v>3748535.0000999998</v>
      </c>
      <c r="D16" s="198">
        <f>('Base-AllFTES Data'!AP14-'Base-AllFTES Data'!W14)*'Base $'!$D$3</f>
        <v>17060981.017692696</v>
      </c>
      <c r="E16" s="198">
        <f>'Base-AllFTES Data'!W14*'Base $'!$D$3</f>
        <v>474466.56428959552</v>
      </c>
      <c r="F16" s="198">
        <f>('Base-AllFTES Data'!AQ14-'Base-AllFTES Data'!X14)*'Base $'!$F$3</f>
        <v>70151.375196727662</v>
      </c>
      <c r="G16" s="198">
        <f>'Base-AllFTES Data'!X14*'Base $'!$F$3</f>
        <v>-1506.3717950246196</v>
      </c>
      <c r="H16" s="139">
        <f>('Base-AllFTES Data'!AR14-'Base-AllFTES Data'!Y14)*'Base $'!$H$3</f>
        <v>0</v>
      </c>
      <c r="I16" s="139">
        <f>'Base-AllFTES Data'!Y14*'Base $'!$H$3</f>
        <v>0</v>
      </c>
      <c r="J16" s="139">
        <f>'Base-AllFTES Data'!AL14*'Base $'!$J$3</f>
        <v>912246.59784557181</v>
      </c>
      <c r="K16" s="139">
        <f>'Base-AllFTES Data'!AN14*$K$3</f>
        <v>0</v>
      </c>
      <c r="L16" s="139">
        <f>'Base-AllFTES Data'!AO14*WeightingFactors!$J$13</f>
        <v>0</v>
      </c>
      <c r="M16" s="139"/>
      <c r="N16" s="198">
        <f t="shared" si="0"/>
        <v>22264874.183329567</v>
      </c>
      <c r="O16" s="139"/>
    </row>
    <row r="17" spans="1:15" ht="15.5" x14ac:dyDescent="0.35">
      <c r="A17" s="54" t="s">
        <v>168</v>
      </c>
      <c r="B17" s="151">
        <f>'Base-BasicAllocations'!L15</f>
        <v>14369387.8563</v>
      </c>
      <c r="D17" s="198">
        <f>('Base-AllFTES Data'!AP15-'Base-AllFTES Data'!W15)*'Base $'!$D$3</f>
        <v>79784638.710846454</v>
      </c>
      <c r="E17" s="198">
        <f>'Base-AllFTES Data'!W15*'Base $'!$D$3</f>
        <v>11526.629850310608</v>
      </c>
      <c r="F17" s="198">
        <f>('Base-AllFTES Data'!AQ15-'Base-AllFTES Data'!X15)*'Base $'!$F$3</f>
        <v>500102.79358340503</v>
      </c>
      <c r="G17" s="198">
        <f>'Base-AllFTES Data'!X15*'Base $'!$F$3</f>
        <v>-21223.104845457972</v>
      </c>
      <c r="H17" s="139">
        <f>('Base-AllFTES Data'!AR15-'Base-AllFTES Data'!Y15)*'Base $'!$H$3</f>
        <v>0</v>
      </c>
      <c r="I17" s="139">
        <f>'Base-AllFTES Data'!Y15*'Base $'!$H$3</f>
        <v>0</v>
      </c>
      <c r="J17" s="139">
        <f>'Base-AllFTES Data'!AL15*'Base $'!$J$3</f>
        <v>3181895.1796609033</v>
      </c>
      <c r="K17" s="139">
        <f>'Base-AllFTES Data'!AN15*$K$3</f>
        <v>0</v>
      </c>
      <c r="L17" s="139">
        <f>'Base-AllFTES Data'!AO15*WeightingFactors!$J$13</f>
        <v>0</v>
      </c>
      <c r="M17" s="139"/>
      <c r="N17" s="198">
        <f t="shared" si="0"/>
        <v>97826328.065395609</v>
      </c>
      <c r="O17" s="139"/>
    </row>
    <row r="18" spans="1:15" ht="15.5" x14ac:dyDescent="0.35">
      <c r="A18" s="54" t="s">
        <v>169</v>
      </c>
      <c r="B18" s="151">
        <f>'Base-BasicAllocations'!L16</f>
        <v>4940799.8697999995</v>
      </c>
      <c r="D18" s="198">
        <f>('Base-AllFTES Data'!AP16-'Base-AllFTES Data'!W16)*'Base $'!$D$3</f>
        <v>4142309.8060830166</v>
      </c>
      <c r="E18" s="198">
        <f>'Base-AllFTES Data'!W16*'Base $'!$D$3</f>
        <v>32039.918650023927</v>
      </c>
      <c r="F18" s="198">
        <f>('Base-AllFTES Data'!AQ16-'Base-AllFTES Data'!X16)*'Base $'!$F$3</f>
        <v>270592.72780521098</v>
      </c>
      <c r="G18" s="198">
        <f>'Base-AllFTES Data'!X16*'Base $'!$F$3</f>
        <v>-54530.658979891225</v>
      </c>
      <c r="H18" s="139">
        <f>('Base-AllFTES Data'!AR16-'Base-AllFTES Data'!Y16)*'Base $'!$H$3</f>
        <v>14154.751724027738</v>
      </c>
      <c r="I18" s="139">
        <f>'Base-AllFTES Data'!Y16*'Base $'!$H$3</f>
        <v>-4365.3384273026522</v>
      </c>
      <c r="J18" s="139">
        <f>'Base-AllFTES Data'!AL16*'Base $'!$J$3</f>
        <v>18443.554855353705</v>
      </c>
      <c r="K18" s="139">
        <f>'Base-AllFTES Data'!AN16*$K$3</f>
        <v>0</v>
      </c>
      <c r="L18" s="139">
        <f>'Base-AllFTES Data'!AO16*WeightingFactors!$J$13</f>
        <v>0</v>
      </c>
      <c r="M18" s="139"/>
      <c r="N18" s="198">
        <f t="shared" si="0"/>
        <v>9359444.6315104365</v>
      </c>
      <c r="O18" s="139"/>
    </row>
    <row r="19" spans="1:15" ht="15.5" x14ac:dyDescent="0.35">
      <c r="A19" s="54" t="s">
        <v>170</v>
      </c>
      <c r="B19" s="151">
        <f>'Base-BasicAllocations'!L17</f>
        <v>3748535.0000999998</v>
      </c>
      <c r="D19" s="198">
        <f>('Base-AllFTES Data'!AP17-'Base-AllFTES Data'!W17)*'Base $'!$D$3</f>
        <v>26696454.867956895</v>
      </c>
      <c r="E19" s="198">
        <f>'Base-AllFTES Data'!W17*'Base $'!$D$3</f>
        <v>3504131.7597930091</v>
      </c>
      <c r="F19" s="198">
        <f>('Base-AllFTES Data'!AQ17-'Base-AllFTES Data'!X17)*'Base $'!$F$3</f>
        <v>183453.76801481305</v>
      </c>
      <c r="G19" s="198">
        <f>'Base-AllFTES Data'!X17*'Base $'!$F$3</f>
        <v>70966.84901004874</v>
      </c>
      <c r="H19" s="139">
        <f>('Base-AllFTES Data'!AR17-'Base-AllFTES Data'!Y17)*'Base $'!$H$3</f>
        <v>3878603.1926584071</v>
      </c>
      <c r="I19" s="139">
        <f>'Base-AllFTES Data'!Y17*'Base $'!$H$3</f>
        <v>-225906.26361291227</v>
      </c>
      <c r="J19" s="139">
        <f>'Base-AllFTES Data'!AL17*'Base $'!$J$3</f>
        <v>245659.4199964568</v>
      </c>
      <c r="K19" s="139">
        <f>'Base-AllFTES Data'!AN17*$K$3</f>
        <v>0</v>
      </c>
      <c r="L19" s="139">
        <f>'Base-AllFTES Data'!AO17*WeightingFactors!$J$13</f>
        <v>0</v>
      </c>
      <c r="M19" s="139"/>
      <c r="N19" s="198">
        <f t="shared" si="0"/>
        <v>38101898.593916714</v>
      </c>
      <c r="O19" s="139"/>
    </row>
    <row r="20" spans="1:15" ht="15.5" x14ac:dyDescent="0.35">
      <c r="A20" s="54" t="s">
        <v>171</v>
      </c>
      <c r="B20" s="151">
        <f>'Base-BasicAllocations'!L18</f>
        <v>8746584.3696999997</v>
      </c>
      <c r="D20" s="198">
        <f>('Base-AllFTES Data'!AP18-'Base-AllFTES Data'!W18)*'Base $'!$D$3</f>
        <v>56817622.837207444</v>
      </c>
      <c r="E20" s="198">
        <f>'Base-AllFTES Data'!W18*'Base $'!$D$3</f>
        <v>503470.61295805807</v>
      </c>
      <c r="F20" s="198">
        <f>('Base-AllFTES Data'!AQ18-'Base-AllFTES Data'!X18)*'Base $'!$F$3</f>
        <v>126511.26942804852</v>
      </c>
      <c r="G20" s="198">
        <f>'Base-AllFTES Data'!X18*'Base $'!$F$3</f>
        <v>37860.144448285442</v>
      </c>
      <c r="H20" s="139">
        <f>('Base-AllFTES Data'!AR18-'Base-AllFTES Data'!Y18)*'Base $'!$H$3</f>
        <v>0</v>
      </c>
      <c r="I20" s="139">
        <f>'Base-AllFTES Data'!Y18*'Base $'!$H$3</f>
        <v>0</v>
      </c>
      <c r="J20" s="139">
        <f>'Base-AllFTES Data'!AL18*'Base $'!$J$3</f>
        <v>1206252.1409244055</v>
      </c>
      <c r="K20" s="139">
        <f>'Base-AllFTES Data'!AN18*$K$3</f>
        <v>0</v>
      </c>
      <c r="L20" s="139">
        <f>'Base-AllFTES Data'!AO18*WeightingFactors!$J$13</f>
        <v>0</v>
      </c>
      <c r="M20" s="139"/>
      <c r="N20" s="198">
        <f t="shared" si="0"/>
        <v>67438301.374666244</v>
      </c>
      <c r="O20" s="139"/>
    </row>
    <row r="21" spans="1:15" ht="15.5" x14ac:dyDescent="0.35">
      <c r="A21" s="54" t="s">
        <v>172</v>
      </c>
      <c r="B21" s="151">
        <f>'Base-BasicAllocations'!L19</f>
        <v>4940799.8697999995</v>
      </c>
      <c r="D21" s="198">
        <f>('Base-AllFTES Data'!AP19-'Base-AllFTES Data'!W19)*'Base $'!$D$3</f>
        <v>3531406.2092289487</v>
      </c>
      <c r="E21" s="198">
        <f>'Base-AllFTES Data'!W19*'Base $'!$D$3</f>
        <v>0</v>
      </c>
      <c r="F21" s="198">
        <f>('Base-AllFTES Data'!AQ19-'Base-AllFTES Data'!X19)*'Base $'!$F$3</f>
        <v>173600.98064439287</v>
      </c>
      <c r="G21" s="198">
        <f>'Base-AllFTES Data'!X19*'Base $'!$F$3</f>
        <v>0</v>
      </c>
      <c r="H21" s="139">
        <f>('Base-AllFTES Data'!AR19-'Base-AllFTES Data'!Y19)*'Base $'!$H$3</f>
        <v>0</v>
      </c>
      <c r="I21" s="139">
        <f>'Base-AllFTES Data'!Y19*'Base $'!$H$3</f>
        <v>0</v>
      </c>
      <c r="J21" s="139">
        <f>'Base-AllFTES Data'!AL19*'Base $'!$J$3</f>
        <v>637012.01000413951</v>
      </c>
      <c r="K21" s="139">
        <f>'Base-AllFTES Data'!AN19*$K$3</f>
        <v>1494691.8775084282</v>
      </c>
      <c r="L21" s="139">
        <f>'Base-AllFTES Data'!AO19*WeightingFactors!$J$13</f>
        <v>0</v>
      </c>
      <c r="M21" s="139"/>
      <c r="N21" s="198">
        <f t="shared" si="0"/>
        <v>10777510.947185911</v>
      </c>
      <c r="O21" s="139"/>
    </row>
    <row r="22" spans="1:15" ht="15.5" x14ac:dyDescent="0.35">
      <c r="A22" s="54" t="s">
        <v>173</v>
      </c>
      <c r="B22" s="151">
        <f>'Base-BasicAllocations'!L20</f>
        <v>9996098.7663000003</v>
      </c>
      <c r="D22" s="198">
        <f>('Base-AllFTES Data'!AP20-'Base-AllFTES Data'!W20)*WeightingFactors!$K$28</f>
        <v>73324211.48153016</v>
      </c>
      <c r="E22" s="198">
        <f>'Base-AllFTES Data'!W20*WeightingFactors!$K$28</f>
        <v>0</v>
      </c>
      <c r="F22" s="198">
        <f>('Base-AllFTES Data'!AQ20-'Base-AllFTES Data'!X20)*'Base $'!$F$3</f>
        <v>1054214.7737061926</v>
      </c>
      <c r="G22" s="198">
        <f>'Base-AllFTES Data'!X20*'Base $'!$F$3</f>
        <v>0</v>
      </c>
      <c r="H22" s="139">
        <f>('Base-AllFTES Data'!AR20-'Base-AllFTES Data'!Y20)*'Base $'!$H$3</f>
        <v>1064706.0424191172</v>
      </c>
      <c r="I22" s="139">
        <f>'Base-AllFTES Data'!Y20*'Base $'!$H$3</f>
        <v>0</v>
      </c>
      <c r="J22" s="139">
        <f>'Base-AllFTES Data'!AL20*WeightingFactors!$J$28</f>
        <v>3804311.3625034792</v>
      </c>
      <c r="K22" s="139">
        <f>'Base-AllFTES Data'!AN20*WeightingFactors!$J$28</f>
        <v>0</v>
      </c>
      <c r="L22" s="139">
        <f>'Base-AllFTES Data'!AO20*WeightingFactors!$J$13</f>
        <v>0</v>
      </c>
      <c r="M22" s="139"/>
      <c r="N22" s="198">
        <f t="shared" si="0"/>
        <v>89243542.426458955</v>
      </c>
      <c r="O22" s="139"/>
    </row>
    <row r="23" spans="1:15" ht="15.5" x14ac:dyDescent="0.35">
      <c r="A23" s="54" t="s">
        <v>174</v>
      </c>
      <c r="B23" s="151">
        <f>'Base-BasicAllocations'!L21</f>
        <v>4940799.8697999995</v>
      </c>
      <c r="D23" s="198">
        <f>('Base-AllFTES Data'!AP21-'Base-AllFTES Data'!W21)*'Base $'!$D$3</f>
        <v>13929351.546831675</v>
      </c>
      <c r="E23" s="198">
        <f>'Base-AllFTES Data'!W21*'Base $'!$D$3</f>
        <v>18868.35526388725</v>
      </c>
      <c r="F23" s="198">
        <f>('Base-AllFTES Data'!AQ21-'Base-AllFTES Data'!X21)*'Base $'!$F$3</f>
        <v>1595593.6385284481</v>
      </c>
      <c r="G23" s="198">
        <f>'Base-AllFTES Data'!X21*'Base $'!$F$3</f>
        <v>82415.27465223585</v>
      </c>
      <c r="H23" s="139">
        <f>('Base-AllFTES Data'!AR21-'Base-AllFTES Data'!Y21)*'Base $'!$H$3</f>
        <v>622861.03793563345</v>
      </c>
      <c r="I23" s="139">
        <f>'Base-AllFTES Data'!Y21*'Base $'!$H$3</f>
        <v>-3219.4370901357061</v>
      </c>
      <c r="J23" s="139">
        <f>'Base-AllFTES Data'!AL21*'Base $'!$J$3</f>
        <v>1035403.7082258479</v>
      </c>
      <c r="K23" s="139">
        <f>'Base-AllFTES Data'!AN21*$K$3</f>
        <v>2946.6034384292907</v>
      </c>
      <c r="L23" s="139">
        <f>'Base-AllFTES Data'!AO21*WeightingFactors!$J$13</f>
        <v>14561.594018571321</v>
      </c>
      <c r="M23" s="139"/>
      <c r="N23" s="198">
        <f t="shared" si="0"/>
        <v>22239582.191604592</v>
      </c>
      <c r="O23" s="139"/>
    </row>
    <row r="24" spans="1:15" ht="15.5" x14ac:dyDescent="0.35">
      <c r="A24" s="54" t="s">
        <v>175</v>
      </c>
      <c r="B24" s="151">
        <f>'Base-BasicAllocations'!L22</f>
        <v>6247561.7390999999</v>
      </c>
      <c r="D24" s="198">
        <f>('Base-AllFTES Data'!AP22-'Base-AllFTES Data'!W22)*'Base $'!$D$3</f>
        <v>35850456.513612598</v>
      </c>
      <c r="E24" s="198">
        <f>'Base-AllFTES Data'!W22*'Base $'!$D$3</f>
        <v>0</v>
      </c>
      <c r="F24" s="198">
        <f>('Base-AllFTES Data'!AQ22-'Base-AllFTES Data'!X22)*'Base $'!$F$3</f>
        <v>916100.45793992979</v>
      </c>
      <c r="G24" s="198">
        <f>'Base-AllFTES Data'!X22*'Base $'!$F$3</f>
        <v>0</v>
      </c>
      <c r="H24" s="139">
        <f>('Base-AllFTES Data'!AR22-'Base-AllFTES Data'!Y22)*'Base $'!$H$3</f>
        <v>15344321.964245819</v>
      </c>
      <c r="I24" s="139">
        <f>'Base-AllFTES Data'!Y22*'Base $'!$H$3</f>
        <v>0</v>
      </c>
      <c r="J24" s="139">
        <f>'Base-AllFTES Data'!AL22*'Base $'!$J$3</f>
        <v>1259836.6701195454</v>
      </c>
      <c r="K24" s="139">
        <f>'Base-AllFTES Data'!AN22*$K$3</f>
        <v>0</v>
      </c>
      <c r="L24" s="139">
        <f>'Base-AllFTES Data'!AO22*WeightingFactors!$J$13</f>
        <v>0</v>
      </c>
      <c r="M24" s="139"/>
      <c r="N24" s="198">
        <f t="shared" si="0"/>
        <v>59618277.345017895</v>
      </c>
      <c r="O24" s="139"/>
    </row>
    <row r="25" spans="1:15" ht="15.5" x14ac:dyDescent="0.35">
      <c r="A25" s="54" t="s">
        <v>176</v>
      </c>
      <c r="B25" s="151">
        <f>'Base-BasicAllocations'!L23</f>
        <v>8121828.1984999999</v>
      </c>
      <c r="D25" s="198">
        <f>('Base-AllFTES Data'!AP23-'Base-AllFTES Data'!W23)*'Base $'!$D$3</f>
        <v>55482308.083339356</v>
      </c>
      <c r="E25" s="198">
        <f>'Base-AllFTES Data'!W23*'Base $'!$D$3</f>
        <v>0</v>
      </c>
      <c r="F25" s="198">
        <f>('Base-AllFTES Data'!AQ23-'Base-AllFTES Data'!X23)*'Base $'!$F$3</f>
        <v>52923.862398531623</v>
      </c>
      <c r="G25" s="198">
        <f>'Base-AllFTES Data'!X23*'Base $'!$F$3</f>
        <v>0</v>
      </c>
      <c r="H25" s="139">
        <f>('Base-AllFTES Data'!AR23-'Base-AllFTES Data'!Y23)*'Base $'!$H$3</f>
        <v>0</v>
      </c>
      <c r="I25" s="139">
        <f>'Base-AllFTES Data'!Y23*'Base $'!$H$3</f>
        <v>0</v>
      </c>
      <c r="J25" s="139">
        <f>'Base-AllFTES Data'!AL23*'Base $'!$J$3</f>
        <v>1733912.4233246136</v>
      </c>
      <c r="K25" s="139">
        <f>'Base-AllFTES Data'!AN23*$K$3</f>
        <v>0</v>
      </c>
      <c r="L25" s="139">
        <f>'Base-AllFTES Data'!AO23*WeightingFactors!$J$13</f>
        <v>0</v>
      </c>
      <c r="M25" s="139"/>
      <c r="N25" s="198">
        <f t="shared" si="0"/>
        <v>65390972.567562506</v>
      </c>
      <c r="O25" s="139"/>
    </row>
    <row r="26" spans="1:15" ht="15.5" x14ac:dyDescent="0.35">
      <c r="A26" s="54" t="s">
        <v>177</v>
      </c>
      <c r="B26" s="151">
        <f>'Base-BasicAllocations'!L24</f>
        <v>4060913.0857000002</v>
      </c>
      <c r="D26" s="198">
        <f>('Base-AllFTES Data'!AP24-'Base-AllFTES Data'!W24)*'Base $'!$D$3</f>
        <v>21764919.809634782</v>
      </c>
      <c r="E26" s="198">
        <f>'Base-AllFTES Data'!W24*'Base $'!$D$3</f>
        <v>0</v>
      </c>
      <c r="F26" s="198">
        <f>('Base-AllFTES Data'!AQ24-'Base-AllFTES Data'!X24)*'Base $'!$F$3</f>
        <v>4217.8410260689343</v>
      </c>
      <c r="G26" s="198">
        <f>'Base-AllFTES Data'!X24*'Base $'!$F$3</f>
        <v>0</v>
      </c>
      <c r="H26" s="139">
        <f>('Base-AllFTES Data'!AR24-'Base-AllFTES Data'!Y24)*'Base $'!$H$3</f>
        <v>0</v>
      </c>
      <c r="I26" s="139">
        <f>'Base-AllFTES Data'!Y24*'Base $'!$H$3</f>
        <v>0</v>
      </c>
      <c r="J26" s="139">
        <f>'Base-AllFTES Data'!AL24*'Base $'!$J$3</f>
        <v>182962.24683432243</v>
      </c>
      <c r="K26" s="139">
        <f>'Base-AllFTES Data'!AN24*$K$3</f>
        <v>0</v>
      </c>
      <c r="L26" s="139">
        <f>'Base-AllFTES Data'!AO24*WeightingFactors!$J$13</f>
        <v>0</v>
      </c>
      <c r="M26" s="139"/>
      <c r="N26" s="198">
        <f t="shared" si="0"/>
        <v>26013012.983195174</v>
      </c>
      <c r="O26" s="139"/>
    </row>
    <row r="27" spans="1:15" ht="15.5" x14ac:dyDescent="0.35">
      <c r="A27" s="54" t="s">
        <v>178</v>
      </c>
      <c r="B27" s="151">
        <f>'Base-BasicAllocations'!L25</f>
        <v>3748535.0000999998</v>
      </c>
      <c r="D27" s="198">
        <f>('Base-AllFTES Data'!AP25-'Base-AllFTES Data'!W25)*'Base $'!$D$3</f>
        <v>20766653.920853768</v>
      </c>
      <c r="E27" s="198">
        <f>'Base-AllFTES Data'!W25*'Base $'!$D$3</f>
        <v>604050.43685912888</v>
      </c>
      <c r="F27" s="198">
        <f>('Base-AllFTES Data'!AQ25-'Base-AllFTES Data'!X25)*'Base $'!$F$3</f>
        <v>150659.49612164751</v>
      </c>
      <c r="G27" s="198">
        <f>'Base-AllFTES Data'!X25*'Base $'!$F$3</f>
        <v>32972.804846650004</v>
      </c>
      <c r="H27" s="139">
        <f>('Base-AllFTES Data'!AR25-'Base-AllFTES Data'!Y25)*'Base $'!$H$3</f>
        <v>60787.337600189436</v>
      </c>
      <c r="I27" s="139">
        <f>'Base-AllFTES Data'!Y25*'Base $'!$H$3</f>
        <v>-39451.746036747725</v>
      </c>
      <c r="J27" s="139">
        <f>'Base-AllFTES Data'!AL25*'Base $'!$J$3</f>
        <v>117263.90350341749</v>
      </c>
      <c r="K27" s="139">
        <f>'Base-AllFTES Data'!AN25*$K$3</f>
        <v>300717.25091081148</v>
      </c>
      <c r="L27" s="139">
        <f>'Base-AllFTES Data'!AO25*WeightingFactors!$J$13</f>
        <v>0</v>
      </c>
      <c r="M27" s="139"/>
      <c r="N27" s="198">
        <f t="shared" si="0"/>
        <v>25742188.404758863</v>
      </c>
      <c r="O27" s="139"/>
    </row>
    <row r="28" spans="1:15" ht="15.5" x14ac:dyDescent="0.35">
      <c r="A28" s="54" t="s">
        <v>179</v>
      </c>
      <c r="B28" s="151">
        <f>'Base-BasicAllocations'!L26</f>
        <v>15775089.241500001</v>
      </c>
      <c r="D28" s="198">
        <f>('Base-AllFTES Data'!AP26-'Base-AllFTES Data'!W26)*'Base $'!$D$3</f>
        <v>62768819.20025453</v>
      </c>
      <c r="E28" s="198">
        <f>'Base-AllFTES Data'!W26*'Base $'!$D$3</f>
        <v>1129561.344932327</v>
      </c>
      <c r="F28" s="198">
        <f>('Base-AllFTES Data'!AQ26-'Base-AllFTES Data'!X26)*'Base $'!$F$3</f>
        <v>214485.02699232023</v>
      </c>
      <c r="G28" s="198">
        <f>'Base-AllFTES Data'!X26*'Base $'!$F$3</f>
        <v>-51049.266386945441</v>
      </c>
      <c r="H28" s="139">
        <f>('Base-AllFTES Data'!AR26-'Base-AllFTES Data'!Y26)*'Base $'!$H$3</f>
        <v>0</v>
      </c>
      <c r="I28" s="139">
        <f>'Base-AllFTES Data'!Y26*'Base $'!$H$3</f>
        <v>0</v>
      </c>
      <c r="J28" s="139">
        <f>'Base-AllFTES Data'!AL26*'Base $'!$J$3</f>
        <v>6226118.4986707494</v>
      </c>
      <c r="K28" s="139">
        <f>'Base-AllFTES Data'!AN26*$K$3</f>
        <v>21171.891372417864</v>
      </c>
      <c r="L28" s="139">
        <f>'Base-AllFTES Data'!AO26*WeightingFactors!$J$13</f>
        <v>0</v>
      </c>
      <c r="M28" s="139"/>
      <c r="N28" s="198">
        <f t="shared" si="0"/>
        <v>86084195.937335402</v>
      </c>
      <c r="O28" s="139"/>
    </row>
    <row r="29" spans="1:15" ht="15.5" x14ac:dyDescent="0.35">
      <c r="A29" s="54" t="s">
        <v>180</v>
      </c>
      <c r="B29" s="151">
        <f>'Base-BasicAllocations'!L27</f>
        <v>4940799.8697999995</v>
      </c>
      <c r="D29" s="198">
        <f>('Base-AllFTES Data'!AP27-'Base-AllFTES Data'!W27)*WeightingFactors!$K$29</f>
        <v>2790735.010066539</v>
      </c>
      <c r="E29" s="198">
        <f>'Base-AllFTES Data'!W27*WeightingFactors!$K$29</f>
        <v>0</v>
      </c>
      <c r="F29" s="198">
        <f>('Base-AllFTES Data'!AQ27-'Base-AllFTES Data'!X27)*'Base $'!$F$3</f>
        <v>264518.71090503171</v>
      </c>
      <c r="G29" s="198">
        <f>'Base-AllFTES Data'!X27*'Base $'!$F$3</f>
        <v>0</v>
      </c>
      <c r="H29" s="139">
        <f>('Base-AllFTES Data'!AR27-'Base-AllFTES Data'!Y27)*'Base $'!$H$3</f>
        <v>20571.657338663746</v>
      </c>
      <c r="I29" s="139">
        <f>'Base-AllFTES Data'!Y27*'Base $'!$H$3</f>
        <v>0</v>
      </c>
      <c r="J29" s="139">
        <f>'Base-AllFTES Data'!AL27*WeightingFactors!$J$29</f>
        <v>172576.6764990415</v>
      </c>
      <c r="K29" s="139">
        <f>'Base-AllFTES Data'!AN27*WeightingFactors!$J$29</f>
        <v>3856708.6933934111</v>
      </c>
      <c r="L29" s="139">
        <f>'Base-AllFTES Data'!AO27*WeightingFactors!$J$13</f>
        <v>0</v>
      </c>
      <c r="M29" s="139"/>
      <c r="N29" s="198">
        <f t="shared" si="0"/>
        <v>12045910.618002687</v>
      </c>
      <c r="O29" s="139"/>
    </row>
    <row r="30" spans="1:15" ht="15.5" x14ac:dyDescent="0.35">
      <c r="A30" s="54" t="s">
        <v>181</v>
      </c>
      <c r="B30" s="151">
        <f>'Base-BasicAllocations'!L28</f>
        <v>4940799.8697999995</v>
      </c>
      <c r="D30" s="198">
        <f>('Base-AllFTES Data'!AP28-'Base-AllFTES Data'!W28)*WeightingFactors!$K$30</f>
        <v>2850609.6088356054</v>
      </c>
      <c r="E30" s="198">
        <f>'Base-AllFTES Data'!W28*WeightingFactors!$K$30</f>
        <v>0</v>
      </c>
      <c r="F30" s="198">
        <f>('Base-AllFTES Data'!AQ28-'Base-AllFTES Data'!X28)*'Base $'!$F$3</f>
        <v>36353.772653260814</v>
      </c>
      <c r="G30" s="198">
        <f>'Base-AllFTES Data'!X28*'Base $'!$F$3</f>
        <v>0</v>
      </c>
      <c r="H30" s="139">
        <f>('Base-AllFTES Data'!AR28-'Base-AllFTES Data'!Y28)*'Base $'!$H$3</f>
        <v>4758.2188857598912</v>
      </c>
      <c r="I30" s="139">
        <f>'Base-AllFTES Data'!Y28*'Base $'!$H$3</f>
        <v>0</v>
      </c>
      <c r="J30" s="139">
        <f>'Base-AllFTES Data'!AL28*WeightingFactors!$J$30</f>
        <v>197732.20398097642</v>
      </c>
      <c r="K30" s="139">
        <f>'Base-AllFTES Data'!AN28*WeightingFactors!J15</f>
        <v>2711966.4979617726</v>
      </c>
      <c r="L30" s="139">
        <f>'Base-AllFTES Data'!AO28*WeightingFactors!$J$13</f>
        <v>30127.43590049239</v>
      </c>
      <c r="M30" s="139"/>
      <c r="N30" s="198">
        <f t="shared" si="0"/>
        <v>10772347.608017867</v>
      </c>
      <c r="O30" s="139"/>
    </row>
    <row r="31" spans="1:15" ht="15.5" x14ac:dyDescent="0.35">
      <c r="A31" s="54" t="s">
        <v>182</v>
      </c>
      <c r="B31" s="151">
        <f>'Base-BasicAllocations'!L29</f>
        <v>7497074.0814999994</v>
      </c>
      <c r="D31" s="198">
        <f>('Base-AllFTES Data'!AP29-'Base-AllFTES Data'!W29)*'Base $'!$D$3</f>
        <v>60289645.784663513</v>
      </c>
      <c r="E31" s="198">
        <f>'Base-AllFTES Data'!W29*'Base $'!$D$3</f>
        <v>0</v>
      </c>
      <c r="F31" s="198">
        <f>('Base-AllFTES Data'!AQ29-'Base-AllFTES Data'!X29)*'Base $'!$F$3</f>
        <v>302207.71589576878</v>
      </c>
      <c r="G31" s="198">
        <f>'Base-AllFTES Data'!X29*'Base $'!$F$3</f>
        <v>0</v>
      </c>
      <c r="H31" s="139">
        <f>('Base-AllFTES Data'!AR29-'Base-AllFTES Data'!Y29)*'Base $'!$H$3</f>
        <v>2071179.3396479201</v>
      </c>
      <c r="I31" s="139">
        <f>'Base-AllFTES Data'!Y29*'Base $'!$H$3</f>
        <v>0</v>
      </c>
      <c r="J31" s="139">
        <f>'Base-AllFTES Data'!AL29*'Base $'!$J$3</f>
        <v>575351.60471848957</v>
      </c>
      <c r="K31" s="139">
        <f>'Base-AllFTES Data'!AN29*$K$3</f>
        <v>298698.28188818402</v>
      </c>
      <c r="L31" s="139">
        <f>'Base-AllFTES Data'!AO29*WeightingFactors!$J$13</f>
        <v>0</v>
      </c>
      <c r="M31" s="139"/>
      <c r="N31" s="198">
        <f t="shared" si="0"/>
        <v>71034156.808313876</v>
      </c>
      <c r="O31" s="139"/>
    </row>
    <row r="32" spans="1:15" ht="15.5" x14ac:dyDescent="0.35">
      <c r="A32" s="54" t="s">
        <v>183</v>
      </c>
      <c r="B32" s="151">
        <f>'Base-BasicAllocations'!L30</f>
        <v>37485362.0823</v>
      </c>
      <c r="D32" s="198">
        <f>('Base-AllFTES Data'!AP30-'Base-AllFTES Data'!W30)*'Base $'!$D$3</f>
        <v>290862923.21479005</v>
      </c>
      <c r="E32" s="198">
        <f>'Base-AllFTES Data'!W30*'Base $'!$D$3</f>
        <v>0</v>
      </c>
      <c r="F32" s="198">
        <f>('Base-AllFTES Data'!AQ30-'Base-AllFTES Data'!X30)*'Base $'!$F$3</f>
        <v>7453695.0164257092</v>
      </c>
      <c r="G32" s="198">
        <f>'Base-AllFTES Data'!X30*'Base $'!$F$3</f>
        <v>0</v>
      </c>
      <c r="H32" s="139">
        <f>('Base-AllFTES Data'!AR30-'Base-AllFTES Data'!Y30)*'Base $'!$H$3</f>
        <v>24138684.501073427</v>
      </c>
      <c r="I32" s="139">
        <f>'Base-AllFTES Data'!Y30*'Base $'!$H$3</f>
        <v>0</v>
      </c>
      <c r="J32" s="139">
        <f>'Base-AllFTES Data'!AL30*'Base $'!$J$3</f>
        <v>28098592.121940345</v>
      </c>
      <c r="K32" s="139">
        <f>'Base-AllFTES Data'!AN30*$K$3</f>
        <v>0</v>
      </c>
      <c r="L32" s="139">
        <f>'Base-AllFTES Data'!AO30*WeightingFactors!$J$13</f>
        <v>0</v>
      </c>
      <c r="M32" s="139"/>
      <c r="N32" s="198">
        <f t="shared" si="0"/>
        <v>388039256.93652952</v>
      </c>
      <c r="O32" s="139"/>
    </row>
    <row r="33" spans="1:15" ht="15.5" x14ac:dyDescent="0.35">
      <c r="A33" s="54" t="s">
        <v>184</v>
      </c>
      <c r="B33" s="151">
        <f>'Base-BasicAllocations'!L31</f>
        <v>24990244.820900001</v>
      </c>
      <c r="D33" s="198">
        <f>('Base-AllFTES Data'!AP31-'Base-AllFTES Data'!W31)*'Base $'!$D$3</f>
        <v>148672549.17691967</v>
      </c>
      <c r="E33" s="198">
        <f>'Base-AllFTES Data'!W31*'Base $'!$D$3</f>
        <v>0</v>
      </c>
      <c r="F33" s="198">
        <f>('Base-AllFTES Data'!AQ31-'Base-AllFTES Data'!X31)*'Base $'!$F$3</f>
        <v>746534.62555030547</v>
      </c>
      <c r="G33" s="198">
        <f>'Base-AllFTES Data'!X31*'Base $'!$F$3</f>
        <v>0</v>
      </c>
      <c r="H33" s="139">
        <f>('Base-AllFTES Data'!AR31-'Base-AllFTES Data'!Y31)*'Base $'!$H$3</f>
        <v>0</v>
      </c>
      <c r="I33" s="139">
        <f>'Base-AllFTES Data'!Y31*'Base $'!$H$3</f>
        <v>0</v>
      </c>
      <c r="J33" s="139">
        <f>'Base-AllFTES Data'!AL31*'Base $'!$J$3</f>
        <v>1955344.2150495404</v>
      </c>
      <c r="K33" s="139">
        <f>'Base-AllFTES Data'!AN31*$K$3</f>
        <v>0</v>
      </c>
      <c r="L33" s="139">
        <f>'Base-AllFTES Data'!AO31*WeightingFactors!$J$13</f>
        <v>0</v>
      </c>
      <c r="M33" s="139"/>
      <c r="N33" s="198">
        <f t="shared" si="0"/>
        <v>176364672.8384195</v>
      </c>
      <c r="O33" s="139"/>
    </row>
    <row r="34" spans="1:15" ht="15.5" x14ac:dyDescent="0.35">
      <c r="A34" s="54" t="s">
        <v>185</v>
      </c>
      <c r="B34" s="151">
        <f>'Base-BasicAllocations'!L32</f>
        <v>3748535.0000999998</v>
      </c>
      <c r="D34" s="198">
        <f>('Base-AllFTES Data'!AP32-'Base-AllFTES Data'!W32)*WeightingFactors!$K$31</f>
        <v>10465497.024904663</v>
      </c>
      <c r="E34" s="198">
        <f>'Base-AllFTES Data'!W32*WeightingFactors!$K$31</f>
        <v>0</v>
      </c>
      <c r="F34" s="198">
        <f>('Base-AllFTES Data'!AQ32-'Base-AllFTES Data'!X32)*'Base $'!$F$3</f>
        <v>810646.72859126388</v>
      </c>
      <c r="G34" s="198">
        <f>'Base-AllFTES Data'!X32*'Base $'!$F$3</f>
        <v>0</v>
      </c>
      <c r="H34" s="139">
        <f>('Base-AllFTES Data'!AR32-'Base-AllFTES Data'!Y32)*'Base $'!$H$3</f>
        <v>0</v>
      </c>
      <c r="I34" s="139">
        <f>'Base-AllFTES Data'!Y32*'Base $'!$H$3</f>
        <v>0</v>
      </c>
      <c r="J34" s="139">
        <f>'Base-AllFTES Data'!AL32*WeightingFactors!$J$31</f>
        <v>966019.6363891518</v>
      </c>
      <c r="K34" s="139">
        <f>'Base-AllFTES Data'!AN32*WeightingFactors!$J$31</f>
        <v>0</v>
      </c>
      <c r="L34" s="139">
        <f>'Base-AllFTES Data'!AO32*WeightingFactors!$J$13</f>
        <v>0</v>
      </c>
      <c r="M34" s="139"/>
      <c r="N34" s="198">
        <f t="shared" si="0"/>
        <v>15990698.389985077</v>
      </c>
      <c r="O34" s="139"/>
    </row>
    <row r="35" spans="1:15" ht="15.5" x14ac:dyDescent="0.35">
      <c r="A35" s="54" t="s">
        <v>186</v>
      </c>
      <c r="B35" s="151">
        <f>'Base-BasicAllocations'!L33</f>
        <v>6186943.7160999998</v>
      </c>
      <c r="D35" s="198">
        <f>('Base-AllFTES Data'!AP33-'Base-AllFTES Data'!W33)*'Base $'!$D$3</f>
        <v>7157295.8062184583</v>
      </c>
      <c r="E35" s="198">
        <f>'Base-AllFTES Data'!W33*'Base $'!$D$3</f>
        <v>0</v>
      </c>
      <c r="F35" s="198">
        <f>('Base-AllFTES Data'!AQ33-'Base-AllFTES Data'!X33)*'Base $'!$F$3</f>
        <v>139457.67804810841</v>
      </c>
      <c r="G35" s="198">
        <f>'Base-AllFTES Data'!X33*'Base $'!$F$3</f>
        <v>0</v>
      </c>
      <c r="H35" s="139">
        <f>('Base-AllFTES Data'!AR33-'Base-AllFTES Data'!Y33)*'Base $'!$H$3</f>
        <v>215621.83185187713</v>
      </c>
      <c r="I35" s="139">
        <f>'Base-AllFTES Data'!Y33*'Base $'!$H$3</f>
        <v>0</v>
      </c>
      <c r="J35" s="139">
        <f>'Base-AllFTES Data'!AL33*'Base $'!$J$3</f>
        <v>2174920.7379428637</v>
      </c>
      <c r="K35" s="139">
        <f>'Base-AllFTES Data'!AN33*$K$3</f>
        <v>0</v>
      </c>
      <c r="L35" s="139">
        <f>'Base-AllFTES Data'!AO33*WeightingFactors!$J$13</f>
        <v>0</v>
      </c>
      <c r="M35" s="139"/>
      <c r="N35" s="198">
        <f t="shared" si="0"/>
        <v>15874239.770161306</v>
      </c>
      <c r="O35" s="139"/>
    </row>
    <row r="36" spans="1:15" ht="15.5" x14ac:dyDescent="0.35">
      <c r="A36" s="54" t="s">
        <v>187</v>
      </c>
      <c r="B36" s="151">
        <f>'Base-BasicAllocations'!L34</f>
        <v>6247561.7390999999</v>
      </c>
      <c r="D36" s="198">
        <f>('Base-AllFTES Data'!AP34-'Base-AllFTES Data'!W34)*'Base $'!$D$3</f>
        <v>24575392.620244972</v>
      </c>
      <c r="E36" s="198">
        <f>'Base-AllFTES Data'!W34*'Base $'!$D$3</f>
        <v>0</v>
      </c>
      <c r="F36" s="198">
        <f>('Base-AllFTES Data'!AQ34-'Base-AllFTES Data'!X34)*'Base $'!$F$3</f>
        <v>620039.03801055858</v>
      </c>
      <c r="G36" s="198">
        <f>'Base-AllFTES Data'!X34*'Base $'!$F$3</f>
        <v>0</v>
      </c>
      <c r="H36" s="139">
        <f>('Base-AllFTES Data'!AR34-'Base-AllFTES Data'!Y34)*'Base $'!$H$3</f>
        <v>3211035.1669180607</v>
      </c>
      <c r="I36" s="139">
        <f>'Base-AllFTES Data'!Y34*'Base $'!$H$3</f>
        <v>0</v>
      </c>
      <c r="J36" s="139">
        <f>'Base-AllFTES Data'!AL34*'Base $'!$J$3</f>
        <v>1949996.6754760949</v>
      </c>
      <c r="K36" s="139">
        <f>'Base-AllFTES Data'!AN34*$K$3</f>
        <v>246969.02152464754</v>
      </c>
      <c r="L36" s="139">
        <f>'Base-AllFTES Data'!AO34*WeightingFactors!$J$13</f>
        <v>9439.9299154876153</v>
      </c>
      <c r="M36" s="139"/>
      <c r="N36" s="198">
        <f t="shared" si="0"/>
        <v>36860434.191189826</v>
      </c>
      <c r="O36" s="139"/>
    </row>
    <row r="37" spans="1:15" ht="15.5" x14ac:dyDescent="0.35">
      <c r="A37" s="54" t="s">
        <v>188</v>
      </c>
      <c r="B37" s="151">
        <f>'Base-BasicAllocations'!L35</f>
        <v>6247561.7390999999</v>
      </c>
      <c r="D37" s="198">
        <f>('Base-AllFTES Data'!AP35-'Base-AllFTES Data'!W35)*WeightingFactors!$K$32</f>
        <v>29943687.204381194</v>
      </c>
      <c r="E37" s="198">
        <f>'Base-AllFTES Data'!W35*WeightingFactors!$K$32</f>
        <v>0</v>
      </c>
      <c r="F37" s="198">
        <f>('Base-AllFTES Data'!AQ35-'Base-AllFTES Data'!X35)*'Base $'!$F$3</f>
        <v>2617538.5808923356</v>
      </c>
      <c r="G37" s="198">
        <f>'Base-AllFTES Data'!X35*'Base $'!$F$3</f>
        <v>0</v>
      </c>
      <c r="H37" s="139">
        <f>('Base-AllFTES Data'!AR35-'Base-AllFTES Data'!Y35)*'Base $'!$H$3</f>
        <v>0</v>
      </c>
      <c r="I37" s="139">
        <f>'Base-AllFTES Data'!Y35*'Base $'!$H$3</f>
        <v>0</v>
      </c>
      <c r="J37" s="139">
        <f>'Base-AllFTES Data'!AL35*WeightingFactors!$J$32</f>
        <v>827291.86203307298</v>
      </c>
      <c r="K37" s="139">
        <f>'Base-AllFTES Data'!AN35*WeightingFactors!$J$32</f>
        <v>0</v>
      </c>
      <c r="L37" s="139">
        <f>'Base-AllFTES Data'!AO35*WeightingFactors!$J$13</f>
        <v>0</v>
      </c>
      <c r="M37" s="139"/>
      <c r="N37" s="198">
        <f t="shared" si="0"/>
        <v>39636079.386406608</v>
      </c>
      <c r="O37" s="139"/>
    </row>
    <row r="38" spans="1:15" ht="15.5" x14ac:dyDescent="0.35">
      <c r="A38" s="54" t="s">
        <v>189</v>
      </c>
      <c r="B38" s="151">
        <f>'Base-BasicAllocations'!L36</f>
        <v>4060913.0857000002</v>
      </c>
      <c r="D38" s="198">
        <f>('Base-AllFTES Data'!AP36-'Base-AllFTES Data'!W36)*'Base $'!$D$3</f>
        <v>18214692.101557516</v>
      </c>
      <c r="E38" s="198">
        <f>'Base-AllFTES Data'!W36*'Base $'!$D$3</f>
        <v>0</v>
      </c>
      <c r="F38" s="198">
        <f>('Base-AllFTES Data'!AQ36-'Base-AllFTES Data'!X36)*'Base $'!$F$3</f>
        <v>1230856.4963710646</v>
      </c>
      <c r="G38" s="198">
        <f>'Base-AllFTES Data'!X36*'Base $'!$F$3</f>
        <v>0</v>
      </c>
      <c r="H38" s="139">
        <f>('Base-AllFTES Data'!AR36-'Base-AllFTES Data'!Y36)*'Base $'!$H$3</f>
        <v>381091.61830291239</v>
      </c>
      <c r="I38" s="139">
        <f>'Base-AllFTES Data'!Y36*'Base $'!$H$3</f>
        <v>0</v>
      </c>
      <c r="J38" s="139">
        <f>'Base-AllFTES Data'!AL36*'Base $'!$J$3</f>
        <v>524931.94588314393</v>
      </c>
      <c r="K38" s="139">
        <f>'Base-AllFTES Data'!AN36*$K$3</f>
        <v>0</v>
      </c>
      <c r="L38" s="139">
        <f>'Base-AllFTES Data'!AO36*WeightingFactors!$J$13</f>
        <v>0</v>
      </c>
      <c r="M38" s="139"/>
      <c r="N38" s="198">
        <f t="shared" si="0"/>
        <v>24412485.247814637</v>
      </c>
      <c r="O38" s="139"/>
    </row>
    <row r="39" spans="1:15" ht="15.5" x14ac:dyDescent="0.35">
      <c r="A39" s="54" t="s">
        <v>190</v>
      </c>
      <c r="B39" s="151">
        <f>'Base-BasicAllocations'!L37</f>
        <v>6247561.7390999999</v>
      </c>
      <c r="D39" s="198">
        <f>('Base-AllFTES Data'!AP37-'Base-AllFTES Data'!W37)*'Base $'!$D$3</f>
        <v>76147360.00125657</v>
      </c>
      <c r="E39" s="198">
        <f>'Base-AllFTES Data'!W37*'Base $'!$D$3</f>
        <v>3232696.5599575341</v>
      </c>
      <c r="F39" s="198">
        <f>('Base-AllFTES Data'!AQ37-'Base-AllFTES Data'!X37)*'Base $'!$F$3</f>
        <v>6969993.4538885066</v>
      </c>
      <c r="G39" s="198">
        <f>'Base-AllFTES Data'!X37*'Base $'!$F$3</f>
        <v>1933043.2372331487</v>
      </c>
      <c r="H39" s="139">
        <f>('Base-AllFTES Data'!AR37-'Base-AllFTES Data'!Y37)*'Base $'!$H$3</f>
        <v>28495292.251521483</v>
      </c>
      <c r="I39" s="139">
        <f>'Base-AllFTES Data'!Y37*'Base $'!$H$3</f>
        <v>1159815.8534039736</v>
      </c>
      <c r="J39" s="139">
        <f>'Base-AllFTES Data'!AL37*'Base $'!$J$3</f>
        <v>133633.92260580245</v>
      </c>
      <c r="K39" s="139">
        <f>'Base-AllFTES Data'!AN37*$K$3</f>
        <v>0</v>
      </c>
      <c r="L39" s="139">
        <f>'Base-AllFTES Data'!AO37*WeightingFactors!$J$13</f>
        <v>0</v>
      </c>
      <c r="M39" s="139"/>
      <c r="N39" s="198">
        <f t="shared" si="0"/>
        <v>124319397.018967</v>
      </c>
      <c r="O39" s="139"/>
    </row>
    <row r="40" spans="1:15" ht="15.5" x14ac:dyDescent="0.35">
      <c r="A40" s="54" t="s">
        <v>191</v>
      </c>
      <c r="B40" s="151">
        <f>'Base-BasicAllocations'!L38</f>
        <v>6247561.7390999999</v>
      </c>
      <c r="D40" s="198">
        <f>('Base-AllFTES Data'!AP38-'Base-AllFTES Data'!W38)*'Base $'!$D$3</f>
        <v>33756022.591806069</v>
      </c>
      <c r="E40" s="198">
        <f>'Base-AllFTES Data'!W38*'Base $'!$D$3</f>
        <v>0</v>
      </c>
      <c r="F40" s="198">
        <f>('Base-AllFTES Data'!AQ38-'Base-AllFTES Data'!X38)*'Base $'!$F$3</f>
        <v>1220322.5767714966</v>
      </c>
      <c r="G40" s="198">
        <f>'Base-AllFTES Data'!X38*'Base $'!$F$3</f>
        <v>0</v>
      </c>
      <c r="H40" s="139">
        <f>('Base-AllFTES Data'!AR38-'Base-AllFTES Data'!Y38)*'Base $'!$H$3</f>
        <v>1292698.6322265898</v>
      </c>
      <c r="I40" s="139">
        <f>'Base-AllFTES Data'!Y38*'Base $'!$H$3</f>
        <v>0</v>
      </c>
      <c r="J40" s="139">
        <f>'Base-AllFTES Data'!AL38*'Base $'!$J$3</f>
        <v>544248.56842395815</v>
      </c>
      <c r="K40" s="139">
        <f>'Base-AllFTES Data'!AN38*$K$3</f>
        <v>0</v>
      </c>
      <c r="L40" s="139">
        <f>'Base-AllFTES Data'!AO38*WeightingFactors!$J$13</f>
        <v>0</v>
      </c>
      <c r="M40" s="139"/>
      <c r="N40" s="198">
        <f t="shared" si="0"/>
        <v>43060854.108328111</v>
      </c>
      <c r="O40" s="139"/>
    </row>
    <row r="41" spans="1:15" ht="15.5" x14ac:dyDescent="0.35">
      <c r="A41" s="54" t="s">
        <v>192</v>
      </c>
      <c r="B41" s="151">
        <f>'Base-BasicAllocations'!L39</f>
        <v>4373291.1712999996</v>
      </c>
      <c r="D41" s="198">
        <f>('Base-AllFTES Data'!AP39-'Base-AllFTES Data'!W39)*'Base $'!$D$3</f>
        <v>14247210.824922347</v>
      </c>
      <c r="E41" s="198">
        <f>'Base-AllFTES Data'!W39*'Base $'!$D$3</f>
        <v>0</v>
      </c>
      <c r="F41" s="198">
        <f>('Base-AllFTES Data'!AQ39-'Base-AllFTES Data'!X39)*'Base $'!$F$3</f>
        <v>1558224.4597022447</v>
      </c>
      <c r="G41" s="198">
        <f>'Base-AllFTES Data'!X39*'Base $'!$F$3</f>
        <v>0</v>
      </c>
      <c r="H41" s="139">
        <f>('Base-AllFTES Data'!AR39-'Base-AllFTES Data'!Y39)*'Base $'!$H$3</f>
        <v>0</v>
      </c>
      <c r="I41" s="139">
        <f>'Base-AllFTES Data'!Y39*'Base $'!$H$3</f>
        <v>0</v>
      </c>
      <c r="J41" s="139">
        <f>'Base-AllFTES Data'!AL39*'Base $'!$J$3</f>
        <v>706038.92388586269</v>
      </c>
      <c r="K41" s="139">
        <f>'Base-AllFTES Data'!AN39*$K$3</f>
        <v>0</v>
      </c>
      <c r="L41" s="139">
        <f>'Base-AllFTES Data'!AO39*WeightingFactors!$J$13</f>
        <v>0</v>
      </c>
      <c r="M41" s="139"/>
      <c r="N41" s="198">
        <f t="shared" si="0"/>
        <v>20884765.379810456</v>
      </c>
      <c r="O41" s="139"/>
    </row>
    <row r="42" spans="1:15" ht="15.5" x14ac:dyDescent="0.35">
      <c r="A42" s="54" t="s">
        <v>193</v>
      </c>
      <c r="B42" s="151">
        <f>'Base-BasicAllocations'!L40</f>
        <v>9996098.7663000003</v>
      </c>
      <c r="D42" s="198">
        <f>('Base-AllFTES Data'!AP40-'Base-AllFTES Data'!W40)*'Base $'!$D$3</f>
        <v>91550278.881530568</v>
      </c>
      <c r="E42" s="198">
        <f>'Base-AllFTES Data'!W40*'Base $'!$D$3</f>
        <v>0</v>
      </c>
      <c r="F42" s="198">
        <f>('Base-AllFTES Data'!AQ40-'Base-AllFTES Data'!X40)*'Base $'!$F$3</f>
        <v>8590139.0446049161</v>
      </c>
      <c r="G42" s="198">
        <f>'Base-AllFTES Data'!X40*'Base $'!$F$3</f>
        <v>0</v>
      </c>
      <c r="H42" s="139">
        <f>('Base-AllFTES Data'!AR40-'Base-AllFTES Data'!Y40)*'Base $'!$H$3</f>
        <v>14311801.001832774</v>
      </c>
      <c r="I42" s="139">
        <f>'Base-AllFTES Data'!Y40*'Base $'!$H$3</f>
        <v>0</v>
      </c>
      <c r="J42" s="139">
        <f>'Base-AllFTES Data'!AL40*'Base $'!$J$3</f>
        <v>1067598.0791272051</v>
      </c>
      <c r="K42" s="139">
        <f>'Base-AllFTES Data'!AN40*$K$3</f>
        <v>0</v>
      </c>
      <c r="L42" s="139">
        <f>'Base-AllFTES Data'!AO40*WeightingFactors!$J$13</f>
        <v>0</v>
      </c>
      <c r="M42" s="139"/>
      <c r="N42" s="198">
        <f t="shared" si="0"/>
        <v>125515915.77339546</v>
      </c>
      <c r="O42" s="139"/>
    </row>
    <row r="43" spans="1:15" ht="15.5" x14ac:dyDescent="0.35">
      <c r="A43" s="54" t="s">
        <v>194</v>
      </c>
      <c r="B43" s="151">
        <f>'Base-BasicAllocations'!L41</f>
        <v>4998047.3424999993</v>
      </c>
      <c r="D43" s="198">
        <f>('Base-AllFTES Data'!AP41-'Base-AllFTES Data'!W41)*'Base $'!$D$3</f>
        <v>19565789.811275374</v>
      </c>
      <c r="E43" s="198">
        <f>'Base-AllFTES Data'!W41*'Base $'!$D$3</f>
        <v>0</v>
      </c>
      <c r="F43" s="198">
        <f>('Base-AllFTES Data'!AQ41-'Base-AllFTES Data'!X41)*'Base $'!$F$3</f>
        <v>0</v>
      </c>
      <c r="G43" s="198">
        <f>'Base-AllFTES Data'!X41*'Base $'!$F$3</f>
        <v>0</v>
      </c>
      <c r="H43" s="139">
        <f>('Base-AllFTES Data'!AR41-'Base-AllFTES Data'!Y41)*'Base $'!$H$3</f>
        <v>0</v>
      </c>
      <c r="I43" s="139">
        <f>'Base-AllFTES Data'!Y41*'Base $'!$H$3</f>
        <v>0</v>
      </c>
      <c r="J43" s="139">
        <f>'Base-AllFTES Data'!AL41*'Base $'!$J$3</f>
        <v>7136891.7947971066</v>
      </c>
      <c r="K43" s="139">
        <f>'Base-AllFTES Data'!AN41*$K$3</f>
        <v>0</v>
      </c>
      <c r="L43" s="139">
        <f>'Base-AllFTES Data'!AO41*WeightingFactors!$J$13</f>
        <v>0</v>
      </c>
      <c r="M43" s="139"/>
      <c r="N43" s="198">
        <f t="shared" si="0"/>
        <v>31700728.948572479</v>
      </c>
      <c r="O43" s="139"/>
    </row>
    <row r="44" spans="1:15" ht="15.5" x14ac:dyDescent="0.35">
      <c r="A44" s="54" t="s">
        <v>195</v>
      </c>
      <c r="B44" s="151">
        <f>'Base-BasicAllocations'!L42</f>
        <v>5096988.9125999995</v>
      </c>
      <c r="D44" s="198">
        <f>('Base-AllFTES Data'!AP42-'Base-AllFTES Data'!W42)*'Base $'!$D$3</f>
        <v>3103874.716959422</v>
      </c>
      <c r="E44" s="198">
        <f>'Base-AllFTES Data'!W42*'Base $'!$D$3</f>
        <v>0</v>
      </c>
      <c r="F44" s="198">
        <f>('Base-AllFTES Data'!AQ42-'Base-AllFTES Data'!X42)*'Base $'!$F$3</f>
        <v>167374.64389162441</v>
      </c>
      <c r="G44" s="198">
        <f>'Base-AllFTES Data'!X42*'Base $'!$F$3</f>
        <v>0</v>
      </c>
      <c r="H44" s="139">
        <f>('Base-AllFTES Data'!AR42-'Base-AllFTES Data'!Y42)*'Base $'!$H$3</f>
        <v>399646.7330195579</v>
      </c>
      <c r="I44" s="139">
        <f>'Base-AllFTES Data'!Y42*'Base $'!$H$3</f>
        <v>0</v>
      </c>
      <c r="J44" s="139">
        <f>'Base-AllFTES Data'!AL42*'Base $'!$J$3</f>
        <v>329091.95068827871</v>
      </c>
      <c r="K44" s="139">
        <f>'Base-AllFTES Data'!AN42*$K$3</f>
        <v>4856548.1338348836</v>
      </c>
      <c r="L44" s="139">
        <f>'Base-AllFTES Data'!AO42*WeightingFactors!$J$13</f>
        <v>0</v>
      </c>
      <c r="M44" s="139"/>
      <c r="N44" s="198">
        <f t="shared" si="0"/>
        <v>13953525.090993766</v>
      </c>
      <c r="O44" s="139"/>
    </row>
    <row r="45" spans="1:15" ht="15.5" x14ac:dyDescent="0.35">
      <c r="A45" s="54" t="s">
        <v>196</v>
      </c>
      <c r="B45" s="151">
        <f>'Base-BasicAllocations'!L43</f>
        <v>7497074.0814999994</v>
      </c>
      <c r="D45" s="198">
        <f>('Base-AllFTES Data'!AP43-'Base-AllFTES Data'!W43)*'Base $'!$D$3</f>
        <v>50130740.384301364</v>
      </c>
      <c r="E45" s="198">
        <f>'Base-AllFTES Data'!W43*'Base $'!$D$3</f>
        <v>0</v>
      </c>
      <c r="F45" s="198">
        <f>('Base-AllFTES Data'!AQ43-'Base-AllFTES Data'!X43)*'Base $'!$F$3</f>
        <v>914267.25479360926</v>
      </c>
      <c r="G45" s="198">
        <f>'Base-AllFTES Data'!X43*'Base $'!$F$3</f>
        <v>0</v>
      </c>
      <c r="H45" s="139">
        <f>('Base-AllFTES Data'!AR43-'Base-AllFTES Data'!Y43)*'Base $'!$H$3</f>
        <v>2375016.9381043492</v>
      </c>
      <c r="I45" s="139">
        <f>'Base-AllFTES Data'!Y43*'Base $'!$H$3</f>
        <v>0</v>
      </c>
      <c r="J45" s="139">
        <f>'Base-AllFTES Data'!AL43*'Base $'!$J$3</f>
        <v>2476674.7567301597</v>
      </c>
      <c r="K45" s="139">
        <f>'Base-AllFTES Data'!AN43*$K$3</f>
        <v>0</v>
      </c>
      <c r="L45" s="139">
        <f>'Base-AllFTES Data'!AO43*WeightingFactors!$J$13</f>
        <v>0</v>
      </c>
      <c r="M45" s="139"/>
      <c r="N45" s="198">
        <f t="shared" si="0"/>
        <v>63393773.41542948</v>
      </c>
      <c r="O45" s="139"/>
    </row>
    <row r="46" spans="1:15" ht="15.5" x14ac:dyDescent="0.35">
      <c r="A46" s="54" t="s">
        <v>197</v>
      </c>
      <c r="B46" s="151">
        <f>'Base-BasicAllocations'!L44</f>
        <v>7497074.0814999994</v>
      </c>
      <c r="D46" s="198">
        <f>('Base-AllFTES Data'!AP44-'Base-AllFTES Data'!W44)*'Base $'!$D$3</f>
        <v>68642985.769028962</v>
      </c>
      <c r="E46" s="198">
        <f>'Base-AllFTES Data'!W44*'Base $'!$D$3</f>
        <v>856423.759838267</v>
      </c>
      <c r="F46" s="198">
        <f>('Base-AllFTES Data'!AQ44-'Base-AllFTES Data'!X44)*'Base $'!$F$3</f>
        <v>553351.73101530329</v>
      </c>
      <c r="G46" s="198">
        <f>'Base-AllFTES Data'!X44*'Base $'!$F$3</f>
        <v>-6360.2364678817266</v>
      </c>
      <c r="H46" s="139">
        <f>('Base-AllFTES Data'!AR44-'Base-AllFTES Data'!Y44)*'Base $'!$H$3</f>
        <v>5613370.4947583657</v>
      </c>
      <c r="I46" s="139">
        <f>'Base-AllFTES Data'!Y44*'Base $'!$H$3</f>
        <v>-226179.0972646187</v>
      </c>
      <c r="J46" s="139">
        <f>'Base-AllFTES Data'!AL44*'Base $'!$J$3</f>
        <v>1380701.9778254877</v>
      </c>
      <c r="K46" s="139">
        <f>'Base-AllFTES Data'!AN44*$K$3</f>
        <v>0</v>
      </c>
      <c r="L46" s="139">
        <f>'Base-AllFTES Data'!AO44*WeightingFactors!$J$13</f>
        <v>0</v>
      </c>
      <c r="M46" s="139"/>
      <c r="N46" s="198">
        <f t="shared" si="0"/>
        <v>84311368.480233893</v>
      </c>
      <c r="O46" s="139"/>
    </row>
    <row r="47" spans="1:15" ht="15.5" x14ac:dyDescent="0.35">
      <c r="A47" s="54" t="s">
        <v>198</v>
      </c>
      <c r="B47" s="151">
        <f>'Base-BasicAllocations'!L45</f>
        <v>14994139.919100001</v>
      </c>
      <c r="D47" s="198">
        <f>('Base-AllFTES Data'!AP45-'Base-AllFTES Data'!W45)*'Base $'!$D$3</f>
        <v>51502685.776035577</v>
      </c>
      <c r="E47" s="198">
        <f>'Base-AllFTES Data'!W45*'Base $'!$D$3</f>
        <v>190906.02717716689</v>
      </c>
      <c r="F47" s="198">
        <f>('Base-AllFTES Data'!AQ45-'Base-AllFTES Data'!X45)*'Base $'!$F$3</f>
        <v>350192.44181953545</v>
      </c>
      <c r="G47" s="198">
        <f>'Base-AllFTES Data'!X45*'Base $'!$F$3</f>
        <v>-195125.3598488557</v>
      </c>
      <c r="H47" s="139">
        <f>('Base-AllFTES Data'!AR45-'Base-AllFTES Data'!Y45)*'Base $'!$H$3</f>
        <v>0</v>
      </c>
      <c r="I47" s="139">
        <f>'Base-AllFTES Data'!Y45*'Base $'!$H$3</f>
        <v>0</v>
      </c>
      <c r="J47" s="139">
        <f>'Base-AllFTES Data'!AL45*'Base $'!$J$3</f>
        <v>5965453.2278304398</v>
      </c>
      <c r="K47" s="139">
        <f>'Base-AllFTES Data'!AN45*$K$3</f>
        <v>0</v>
      </c>
      <c r="L47" s="139">
        <f>'Base-AllFTES Data'!AO45*WeightingFactors!$J$13</f>
        <v>0</v>
      </c>
      <c r="M47" s="139"/>
      <c r="N47" s="198">
        <f t="shared" si="0"/>
        <v>72808252.032113865</v>
      </c>
      <c r="O47" s="139"/>
    </row>
    <row r="48" spans="1:15" ht="15.5" x14ac:dyDescent="0.35">
      <c r="A48" s="54" t="s">
        <v>199</v>
      </c>
      <c r="B48" s="151">
        <f>'Base-BasicAllocations'!L46</f>
        <v>11245609.054500001</v>
      </c>
      <c r="D48" s="198">
        <f>('Base-AllFTES Data'!AP46-'Base-AllFTES Data'!W46)*'Base $'!$D$3</f>
        <v>61441912.233872414</v>
      </c>
      <c r="E48" s="198">
        <f>'Base-AllFTES Data'!W46*'Base $'!$D$3</f>
        <v>0</v>
      </c>
      <c r="F48" s="198">
        <f>('Base-AllFTES Data'!AQ46-'Base-AllFTES Data'!X46)*'Base $'!$F$3</f>
        <v>1470116.8425927747</v>
      </c>
      <c r="G48" s="198">
        <f>'Base-AllFTES Data'!X46*'Base $'!$F$3</f>
        <v>0</v>
      </c>
      <c r="H48" s="139">
        <f>('Base-AllFTES Data'!AR46-'Base-AllFTES Data'!Y46)*'Base $'!$H$3</f>
        <v>28800155.508068096</v>
      </c>
      <c r="I48" s="139">
        <f>'Base-AllFTES Data'!Y46*'Base $'!$H$3</f>
        <v>121078.1179542732</v>
      </c>
      <c r="J48" s="139">
        <f>'Base-AllFTES Data'!AL46*'Base $'!$J$3</f>
        <v>10610664.415053533</v>
      </c>
      <c r="K48" s="139">
        <f>'Base-AllFTES Data'!AN46*$K$3</f>
        <v>36668.842789342278</v>
      </c>
      <c r="L48" s="139">
        <f>'Base-AllFTES Data'!AO46*WeightingFactors!$J$13</f>
        <v>1640271.5101379191</v>
      </c>
      <c r="M48" s="139"/>
      <c r="N48" s="198">
        <f t="shared" si="0"/>
        <v>115366476.52496834</v>
      </c>
      <c r="O48" s="139"/>
    </row>
    <row r="49" spans="1:15" ht="15.5" x14ac:dyDescent="0.35">
      <c r="A49" s="54" t="s">
        <v>200</v>
      </c>
      <c r="B49" s="151">
        <f>'Base-BasicAllocations'!L47</f>
        <v>5256546.4514999995</v>
      </c>
      <c r="D49" s="198">
        <f>('Base-AllFTES Data'!AP47-'Base-AllFTES Data'!W47)*'Base $'!$D$3</f>
        <v>10481232.930754516</v>
      </c>
      <c r="E49" s="198">
        <f>'Base-AllFTES Data'!W47*'Base $'!$D$3</f>
        <v>0</v>
      </c>
      <c r="F49" s="198">
        <f>('Base-AllFTES Data'!AQ47-'Base-AllFTES Data'!X47)*'Base $'!$F$3</f>
        <v>200853.0897691329</v>
      </c>
      <c r="G49" s="198">
        <f>'Base-AllFTES Data'!X47*'Base $'!$F$3</f>
        <v>0</v>
      </c>
      <c r="H49" s="139">
        <f>('Base-AllFTES Data'!AR47-'Base-AllFTES Data'!Y47)*'Base $'!$H$3</f>
        <v>375313.27439342218</v>
      </c>
      <c r="I49" s="139">
        <f>'Base-AllFTES Data'!Y47*'Base $'!$H$3</f>
        <v>0</v>
      </c>
      <c r="J49" s="139">
        <f>'Base-AllFTES Data'!AL47*'Base $'!$J$3</f>
        <v>1144700.869099438</v>
      </c>
      <c r="K49" s="139">
        <f>'Base-AllFTES Data'!AN47*$K$3</f>
        <v>0</v>
      </c>
      <c r="L49" s="139">
        <f>'Base-AllFTES Data'!AO47*WeightingFactors!$J$13</f>
        <v>0</v>
      </c>
      <c r="M49" s="139"/>
      <c r="N49" s="198">
        <f t="shared" si="0"/>
        <v>17458646.615516506</v>
      </c>
      <c r="O49" s="139"/>
    </row>
    <row r="50" spans="1:15" ht="15.5" x14ac:dyDescent="0.35">
      <c r="A50" s="54" t="s">
        <v>201</v>
      </c>
      <c r="B50" s="151">
        <f>'Base-BasicAllocations'!L48</f>
        <v>4998049.3966999995</v>
      </c>
      <c r="D50" s="198">
        <f>('Base-AllFTES Data'!AP48-'Base-AllFTES Data'!W48)*'Base $'!$D$3</f>
        <v>36059813.572787076</v>
      </c>
      <c r="E50" s="198">
        <f>'Base-AllFTES Data'!W48*'Base $'!$D$3</f>
        <v>1065783.8851204826</v>
      </c>
      <c r="F50" s="198">
        <f>('Base-AllFTES Data'!AQ48-'Base-AllFTES Data'!X48)*'Base $'!$F$3</f>
        <v>1479034.2891249042</v>
      </c>
      <c r="G50" s="198">
        <f>'Base-AllFTES Data'!X48*'Base $'!$F$3</f>
        <v>-101060.80998176281</v>
      </c>
      <c r="H50" s="139">
        <f>('Base-AllFTES Data'!AR48-'Base-AllFTES Data'!Y48)*'Base $'!$H$3</f>
        <v>189257.79967846145</v>
      </c>
      <c r="I50" s="139">
        <f>'Base-AllFTES Data'!Y48*'Base $'!$H$3</f>
        <v>3546.8374721834052</v>
      </c>
      <c r="J50" s="139">
        <f>'Base-AllFTES Data'!AL48*'Base $'!$J$3</f>
        <v>1569775.6984580338</v>
      </c>
      <c r="K50" s="139">
        <f>'Base-AllFTES Data'!AN48*$K$3</f>
        <v>0</v>
      </c>
      <c r="L50" s="139">
        <f>'Base-AllFTES Data'!AO48*WeightingFactors!$J$13</f>
        <v>0</v>
      </c>
      <c r="M50" s="139"/>
      <c r="N50" s="198">
        <f t="shared" si="0"/>
        <v>45264200.669359379</v>
      </c>
      <c r="O50" s="139"/>
    </row>
    <row r="51" spans="1:15" ht="15.5" x14ac:dyDescent="0.35">
      <c r="A51" s="54" t="s">
        <v>202</v>
      </c>
      <c r="B51" s="151">
        <f>'Base-BasicAllocations'!L49</f>
        <v>11870363.171500001</v>
      </c>
      <c r="D51" s="198">
        <f>('Base-AllFTES Data'!AP49-'Base-AllFTES Data'!W49)*'Base $'!$D$3</f>
        <v>87531801.917681351</v>
      </c>
      <c r="E51" s="198">
        <f>'Base-AllFTES Data'!W49*'Base $'!$D$3</f>
        <v>369596.00383091962</v>
      </c>
      <c r="F51" s="198">
        <f>('Base-AllFTES Data'!AQ49-'Base-AllFTES Data'!X49)*'Base $'!$F$3</f>
        <v>239156.0495019457</v>
      </c>
      <c r="G51" s="198">
        <f>'Base-AllFTES Data'!X49*'Base $'!$F$3</f>
        <v>-10075.953562275788</v>
      </c>
      <c r="H51" s="139">
        <f>('Base-AllFTES Data'!AR49-'Base-AllFTES Data'!Y49)*'Base $'!$H$3</f>
        <v>0</v>
      </c>
      <c r="I51" s="139">
        <f>'Base-AllFTES Data'!Y49*'Base $'!$H$3</f>
        <v>0</v>
      </c>
      <c r="J51" s="139">
        <f>'Base-AllFTES Data'!AL49*'Base $'!$J$3</f>
        <v>3887988.6702771075</v>
      </c>
      <c r="K51" s="139">
        <f>'Base-AllFTES Data'!AN49*$K$3</f>
        <v>0</v>
      </c>
      <c r="L51" s="139">
        <f>'Base-AllFTES Data'!AO49*WeightingFactors!$J$13</f>
        <v>0</v>
      </c>
      <c r="M51" s="139"/>
      <c r="N51" s="198">
        <f t="shared" si="0"/>
        <v>103888829.85922904</v>
      </c>
      <c r="O51" s="139"/>
    </row>
    <row r="52" spans="1:15" ht="15.5" x14ac:dyDescent="0.35">
      <c r="A52" s="54" t="s">
        <v>203</v>
      </c>
      <c r="B52" s="151">
        <f>'Base-BasicAllocations'!L50</f>
        <v>8121828.1984999999</v>
      </c>
      <c r="D52" s="198">
        <f>('Base-AllFTES Data'!AP50-'Base-AllFTES Data'!W50)*'Base $'!$D$3</f>
        <v>44105583.648769312</v>
      </c>
      <c r="E52" s="198">
        <f>'Base-AllFTES Data'!W50*'Base $'!$D$3</f>
        <v>0</v>
      </c>
      <c r="F52" s="198">
        <f>('Base-AllFTES Data'!AQ50-'Base-AllFTES Data'!X50)*'Base $'!$F$3</f>
        <v>652238.37561618048</v>
      </c>
      <c r="G52" s="198">
        <f>'Base-AllFTES Data'!X50*'Base $'!$F$3</f>
        <v>0</v>
      </c>
      <c r="H52" s="139">
        <f>('Base-AllFTES Data'!AR50-'Base-AllFTES Data'!Y50)*'Base $'!$H$3</f>
        <v>0</v>
      </c>
      <c r="I52" s="139">
        <f>'Base-AllFTES Data'!Y50*'Base $'!$H$3</f>
        <v>0</v>
      </c>
      <c r="J52" s="139">
        <f>'Base-AllFTES Data'!AL50*'Base $'!$J$3</f>
        <v>642250.41611690272</v>
      </c>
      <c r="K52" s="139">
        <f>'Base-AllFTES Data'!AN50*$K$3</f>
        <v>0</v>
      </c>
      <c r="L52" s="139">
        <f>'Base-AllFTES Data'!AO50*WeightingFactors!$J$13</f>
        <v>0</v>
      </c>
      <c r="M52" s="139"/>
      <c r="N52" s="198">
        <f t="shared" si="0"/>
        <v>53521900.63900239</v>
      </c>
      <c r="O52" s="139"/>
    </row>
    <row r="53" spans="1:15" ht="15.5" x14ac:dyDescent="0.35">
      <c r="A53" s="54" t="s">
        <v>204</v>
      </c>
      <c r="B53" s="151">
        <f>'Base-BasicAllocations'!L51</f>
        <v>19367441.3343</v>
      </c>
      <c r="D53" s="198">
        <f>('Base-AllFTES Data'!AP51-'Base-AllFTES Data'!W51)*'Base $'!$D$3</f>
        <v>104976684.859643</v>
      </c>
      <c r="E53" s="198">
        <f>'Base-AllFTES Data'!W51*'Base $'!$D$3</f>
        <v>1903103.4352540637</v>
      </c>
      <c r="F53" s="198">
        <f>('Base-AllFTES Data'!AQ51-'Base-AllFTES Data'!X51)*'Base $'!$F$3</f>
        <v>6846392.8585293386</v>
      </c>
      <c r="G53" s="198">
        <f>'Base-AllFTES Data'!X51*'Base $'!$F$3</f>
        <v>-83754.271803368843</v>
      </c>
      <c r="H53" s="139">
        <f>('Base-AllFTES Data'!AR51-'Base-AllFTES Data'!Y51)*'Base $'!$H$3</f>
        <v>34926599.845185563</v>
      </c>
      <c r="I53" s="139">
        <f>'Base-AllFTES Data'!Y51*'Base $'!$H$3</f>
        <v>-1075237.4213749846</v>
      </c>
      <c r="J53" s="139">
        <f>'Base-AllFTES Data'!AL51*'Base $'!$J$3</f>
        <v>3438686.2126469817</v>
      </c>
      <c r="K53" s="139">
        <f>'Base-AllFTES Data'!AN51*$K$3</f>
        <v>0</v>
      </c>
      <c r="L53" s="139">
        <f>'Base-AllFTES Data'!AO51*WeightingFactors!$J$13</f>
        <v>0</v>
      </c>
      <c r="M53" s="139"/>
      <c r="N53" s="198">
        <f t="shared" si="0"/>
        <v>170299916.8523806</v>
      </c>
      <c r="O53" s="139"/>
    </row>
    <row r="54" spans="1:15" ht="15.5" x14ac:dyDescent="0.35">
      <c r="A54" s="54" t="s">
        <v>205</v>
      </c>
      <c r="B54" s="151">
        <f>'Base-BasicAllocations'!L52</f>
        <v>12129364.4014</v>
      </c>
      <c r="D54" s="198">
        <f>('Base-AllFTES Data'!AP52-'Base-AllFTES Data'!W52)*WeightingFactors!$K$33</f>
        <v>47446444.875458762</v>
      </c>
      <c r="E54" s="198">
        <f>'Base-AllFTES Data'!W52*WeightingFactors!$K$33</f>
        <v>1078260.471462833</v>
      </c>
      <c r="F54" s="198">
        <f>('Base-AllFTES Data'!AQ52-'Base-AllFTES Data'!X52)*'Base $'!$F$3</f>
        <v>6512647.8186094398</v>
      </c>
      <c r="G54" s="198">
        <f>'Base-AllFTES Data'!X52*'Base $'!$F$3</f>
        <v>1235927.8454245329</v>
      </c>
      <c r="H54" s="139">
        <f>('Base-AllFTES Data'!AR52-'Base-AllFTES Data'!Y52)*'Base $'!$H$3</f>
        <v>23623192.599539328</v>
      </c>
      <c r="I54" s="139">
        <f>'Base-AllFTES Data'!Y52*'Base $'!$H$3</f>
        <v>-3142388.8668938144</v>
      </c>
      <c r="J54" s="139">
        <f>'Base-AllFTES Data'!AL52*WeightingFactors!$J$33</f>
        <v>1100359.4319124511</v>
      </c>
      <c r="K54" s="139">
        <f>'Base-AllFTES Data'!AN52*WeightingFactors!$J$33</f>
        <v>19740.594475866772</v>
      </c>
      <c r="L54" s="139">
        <f>'Base-AllFTES Data'!AO52*WeightingFactors!$J$13</f>
        <v>0</v>
      </c>
      <c r="M54" s="139"/>
      <c r="N54" s="198">
        <f t="shared" si="0"/>
        <v>90003549.171389401</v>
      </c>
      <c r="O54" s="139"/>
    </row>
    <row r="55" spans="1:15" ht="15.5" x14ac:dyDescent="0.35">
      <c r="A55" s="54" t="s">
        <v>206</v>
      </c>
      <c r="B55" s="151">
        <f>'Base-BasicAllocations'!L53</f>
        <v>6247561.7390999999</v>
      </c>
      <c r="D55" s="198">
        <f>('Base-AllFTES Data'!AP53-'Base-AllFTES Data'!W53)*'Base $'!$D$3</f>
        <v>43834437.8342693</v>
      </c>
      <c r="E55" s="198">
        <f>'Base-AllFTES Data'!W53*'Base $'!$D$3</f>
        <v>27601.01712319917</v>
      </c>
      <c r="F55" s="198">
        <f>('Base-AllFTES Data'!AQ53-'Base-AllFTES Data'!X53)*'Base $'!$F$3</f>
        <v>552966.70907948038</v>
      </c>
      <c r="G55" s="198">
        <f>'Base-AllFTES Data'!X53*'Base $'!$F$3</f>
        <v>-50814.941885497166</v>
      </c>
      <c r="H55" s="139">
        <f>('Base-AllFTES Data'!AR53-'Base-AllFTES Data'!Y53)*'Base $'!$H$3</f>
        <v>0</v>
      </c>
      <c r="I55" s="139">
        <f>'Base-AllFTES Data'!Y53*'Base $'!$H$3</f>
        <v>0</v>
      </c>
      <c r="J55" s="139">
        <f>'Base-AllFTES Data'!AL53*'Base $'!$J$3</f>
        <v>2319086.0395045341</v>
      </c>
      <c r="K55" s="139">
        <f>'Base-AllFTES Data'!AN53*$K$3</f>
        <v>0</v>
      </c>
      <c r="L55" s="139">
        <f>'Base-AllFTES Data'!AO53*WeightingFactors!$J$13</f>
        <v>0</v>
      </c>
      <c r="M55" s="139"/>
      <c r="N55" s="198">
        <f t="shared" si="0"/>
        <v>52930838.397191025</v>
      </c>
      <c r="O55" s="139"/>
    </row>
    <row r="56" spans="1:15" ht="15.5" x14ac:dyDescent="0.35">
      <c r="A56" s="54" t="s">
        <v>207</v>
      </c>
      <c r="B56" s="151">
        <f>'Base-BasicAllocations'!L54</f>
        <v>7497069.9730999991</v>
      </c>
      <c r="D56" s="198">
        <f>('Base-AllFTES Data'!AP54-'Base-AllFTES Data'!W54)*WeightingFactors!$K$34</f>
        <v>34863459.455366902</v>
      </c>
      <c r="E56" s="198">
        <f>'Base-AllFTES Data'!W54*WeightingFactors!$K$34</f>
        <v>0</v>
      </c>
      <c r="F56" s="198">
        <f>('Base-AllFTES Data'!AQ54-'Base-AllFTES Data'!X54)*'Base $'!$F$3</f>
        <v>434464.40562812285</v>
      </c>
      <c r="G56" s="198">
        <f>'Base-AllFTES Data'!X54*'Base $'!$F$3</f>
        <v>0</v>
      </c>
      <c r="H56" s="139">
        <f>('Base-AllFTES Data'!AR54-'Base-AllFTES Data'!Y54)*'Base $'!$H$3</f>
        <v>0</v>
      </c>
      <c r="I56" s="139">
        <f>'Base-AllFTES Data'!Y54*'Base $'!$H$3</f>
        <v>0</v>
      </c>
      <c r="J56" s="139">
        <f>'Base-AllFTES Data'!AL54*WeightingFactors!$J$34</f>
        <v>1059834.7858391234</v>
      </c>
      <c r="K56" s="139">
        <f>'Base-AllFTES Data'!AN54*WeightingFactors!$J$34</f>
        <v>0</v>
      </c>
      <c r="L56" s="139">
        <f>'Base-AllFTES Data'!AO54*WeightingFactors!$J$13</f>
        <v>0</v>
      </c>
      <c r="M56" s="139"/>
      <c r="N56" s="198">
        <f t="shared" si="0"/>
        <v>43854828.619934149</v>
      </c>
      <c r="O56" s="139"/>
    </row>
    <row r="57" spans="1:15" ht="15.5" x14ac:dyDescent="0.35">
      <c r="A57" s="54" t="s">
        <v>208</v>
      </c>
      <c r="B57" s="151">
        <f>'Base-BasicAllocations'!L55</f>
        <v>4998047.3424999993</v>
      </c>
      <c r="D57" s="198">
        <f>('Base-AllFTES Data'!AP55-'Base-AllFTES Data'!W55)*'Base $'!$D$3</f>
        <v>21028520.80638767</v>
      </c>
      <c r="E57" s="198">
        <f>'Base-AllFTES Data'!W55*'Base $'!$D$3</f>
        <v>162509.757259993</v>
      </c>
      <c r="F57" s="198">
        <f>('Base-AllFTES Data'!AQ55-'Base-AllFTES Data'!X55)*'Base $'!$F$3</f>
        <v>630987.46872654115</v>
      </c>
      <c r="G57" s="198">
        <f>'Base-AllFTES Data'!X55*'Base $'!$F$3</f>
        <v>201719.92081818572</v>
      </c>
      <c r="H57" s="139">
        <f>('Base-AllFTES Data'!AR55-'Base-AllFTES Data'!Y55)*'Base $'!$H$3</f>
        <v>978239.36506448814</v>
      </c>
      <c r="I57" s="139">
        <f>'Base-AllFTES Data'!Y55*'Base $'!$H$3</f>
        <v>-490991.43961086584</v>
      </c>
      <c r="J57" s="139">
        <f>'Base-AllFTES Data'!AL55*'Base $'!$J$3</f>
        <v>3067141.345753185</v>
      </c>
      <c r="K57" s="139">
        <f>'Base-AllFTES Data'!AN55*$K$3</f>
        <v>113498.79910986895</v>
      </c>
      <c r="L57" s="139">
        <f>'Base-AllFTES Data'!AO55*WeightingFactors!$J$13</f>
        <v>3347.4928778324879</v>
      </c>
      <c r="M57" s="139"/>
      <c r="N57" s="198">
        <f t="shared" si="0"/>
        <v>30693020.858886905</v>
      </c>
      <c r="O57" s="139"/>
    </row>
    <row r="58" spans="1:15" ht="15.5" x14ac:dyDescent="0.35">
      <c r="A58" s="54" t="s">
        <v>209</v>
      </c>
      <c r="B58" s="151">
        <f>'Base-BasicAllocations'!L56</f>
        <v>11245604.9461</v>
      </c>
      <c r="D58" s="198">
        <f>('Base-AllFTES Data'!AP56-'Base-AllFTES Data'!W56)*'Base $'!$D$3</f>
        <v>47400256.603394754</v>
      </c>
      <c r="E58" s="198">
        <f>'Base-AllFTES Data'!W56*'Base $'!$D$3</f>
        <v>0</v>
      </c>
      <c r="F58" s="198">
        <f>('Base-AllFTES Data'!AQ56-'Base-AllFTES Data'!X56)*'Base $'!$F$3</f>
        <v>142898.89179987251</v>
      </c>
      <c r="G58" s="198">
        <f>'Base-AllFTES Data'!X56*'Base $'!$F$3</f>
        <v>0</v>
      </c>
      <c r="H58" s="139">
        <f>('Base-AllFTES Data'!AR56-'Base-AllFTES Data'!Y56)*'Base $'!$H$3</f>
        <v>0</v>
      </c>
      <c r="I58" s="139">
        <f>'Base-AllFTES Data'!Y56*'Base $'!$H$3</f>
        <v>0</v>
      </c>
      <c r="J58" s="139">
        <f>'Base-AllFTES Data'!AL56*'Base $'!$J$3</f>
        <v>0</v>
      </c>
      <c r="K58" s="139">
        <f>'Base-AllFTES Data'!AN56*$K$3</f>
        <v>25100.69595699025</v>
      </c>
      <c r="L58" s="139">
        <f>'Base-AllFTES Data'!AO56*WeightingFactors!$J$13</f>
        <v>0</v>
      </c>
      <c r="M58" s="139"/>
      <c r="N58" s="198">
        <f t="shared" si="0"/>
        <v>58813861.137251623</v>
      </c>
      <c r="O58" s="139"/>
    </row>
    <row r="59" spans="1:15" ht="15.5" x14ac:dyDescent="0.35">
      <c r="A59" s="54" t="s">
        <v>210</v>
      </c>
      <c r="B59" s="151">
        <f>'Base-BasicAllocations'!L57</f>
        <v>7184694.9687999999</v>
      </c>
      <c r="D59" s="198">
        <f>('Base-AllFTES Data'!AP57-'Base-AllFTES Data'!W57)*'Base $'!$D$3</f>
        <v>32124820.201161653</v>
      </c>
      <c r="E59" s="198">
        <f>'Base-AllFTES Data'!W57*'Base $'!$D$3</f>
        <v>0</v>
      </c>
      <c r="F59" s="198">
        <f>('Base-AllFTES Data'!AQ57-'Base-AllFTES Data'!X57)*'Base $'!$F$3</f>
        <v>260207.316379675</v>
      </c>
      <c r="G59" s="198">
        <f>'Base-AllFTES Data'!X57*'Base $'!$F$3</f>
        <v>0</v>
      </c>
      <c r="H59" s="139">
        <f>('Base-AllFTES Data'!AR57-'Base-AllFTES Data'!Y57)*'Base $'!$H$3</f>
        <v>3145204.5101794251</v>
      </c>
      <c r="I59" s="139">
        <f>'Base-AllFTES Data'!Y57*'Base $'!$H$3</f>
        <v>0</v>
      </c>
      <c r="J59" s="139">
        <f>'Base-AllFTES Data'!AL57*'Base $'!$J$3</f>
        <v>3869872.5158038018</v>
      </c>
      <c r="K59" s="139">
        <f>'Base-AllFTES Data'!AN57*$K$3</f>
        <v>0</v>
      </c>
      <c r="L59" s="139">
        <f>'Base-AllFTES Data'!AO57*WeightingFactors!$J$13</f>
        <v>0</v>
      </c>
      <c r="M59" s="139"/>
      <c r="N59" s="198">
        <f t="shared" si="0"/>
        <v>46584799.512324549</v>
      </c>
      <c r="O59" s="139"/>
    </row>
    <row r="60" spans="1:15" ht="15.5" x14ac:dyDescent="0.35">
      <c r="A60" s="54" t="s">
        <v>211</v>
      </c>
      <c r="B60" s="151">
        <f>'Base-BasicAllocations'!L58</f>
        <v>6247561.7390999999</v>
      </c>
      <c r="D60" s="198">
        <f>('Base-AllFTES Data'!AP58-'Base-AllFTES Data'!W58)*'Base $'!$D$3</f>
        <v>47017199.612541094</v>
      </c>
      <c r="E60" s="198">
        <f>'Base-AllFTES Data'!W58*'Base $'!$D$3</f>
        <v>581713.81180554954</v>
      </c>
      <c r="F60" s="198">
        <f>('Base-AllFTES Data'!AQ58-'Base-AllFTES Data'!X58)*'Base $'!$F$3</f>
        <v>863429.99628892634</v>
      </c>
      <c r="G60" s="198">
        <f>'Base-AllFTES Data'!X58*'Base $'!$F$3</f>
        <v>182840.06098721048</v>
      </c>
      <c r="H60" s="139">
        <f>('Base-AllFTES Data'!AR58-'Base-AllFTES Data'!Y58)*'Base $'!$H$3</f>
        <v>675863.52200713311</v>
      </c>
      <c r="I60" s="139">
        <f>'Base-AllFTES Data'!Y58*'Base $'!$H$3</f>
        <v>0</v>
      </c>
      <c r="J60" s="139">
        <f>'Base-AllFTES Data'!AL58*'Base $'!$J$3</f>
        <v>3685382.4005199228</v>
      </c>
      <c r="K60" s="139">
        <f>'Base-AllFTES Data'!AN58*$K$3</f>
        <v>13041.448551566675</v>
      </c>
      <c r="L60" s="139">
        <f>'Base-AllFTES Data'!AO58*WeightingFactors!$J$13</f>
        <v>0</v>
      </c>
      <c r="M60" s="139"/>
      <c r="N60" s="198">
        <f t="shared" si="0"/>
        <v>59267032.591801398</v>
      </c>
      <c r="O60" s="139"/>
    </row>
    <row r="61" spans="1:15" ht="15.5" x14ac:dyDescent="0.35">
      <c r="A61" s="54" t="s">
        <v>212</v>
      </c>
      <c r="B61" s="151">
        <f>'Base-BasicAllocations'!L59</f>
        <v>7497074.0814999994</v>
      </c>
      <c r="D61" s="198">
        <f>('Base-AllFTES Data'!AP59-'Base-AllFTES Data'!W59)*WeightingFactors!$K$35</f>
        <v>62978010.548691913</v>
      </c>
      <c r="E61" s="198">
        <f>'Base-AllFTES Data'!W59*WeightingFactors!$K$35</f>
        <v>0</v>
      </c>
      <c r="F61" s="198">
        <f>('Base-AllFTES Data'!AQ59-'Base-AllFTES Data'!X59)*'Base $'!$F$3</f>
        <v>1886824.7199649077</v>
      </c>
      <c r="G61" s="198">
        <f>'Base-AllFTES Data'!X59*'Base $'!$F$3</f>
        <v>0</v>
      </c>
      <c r="H61" s="139">
        <f>('Base-AllFTES Data'!AR59-'Base-AllFTES Data'!Y59)*'Base $'!$H$3</f>
        <v>919482.24814672268</v>
      </c>
      <c r="I61" s="139">
        <f>'Base-AllFTES Data'!Y59*'Base $'!$H$3</f>
        <v>0</v>
      </c>
      <c r="J61" s="139">
        <f>'Base-AllFTES Data'!AL59*WeightingFactors!$J$35</f>
        <v>1366509.8643961891</v>
      </c>
      <c r="K61" s="139">
        <f>'Base-AllFTES Data'!AN59*WeightingFactors!$J$35</f>
        <v>0</v>
      </c>
      <c r="L61" s="139">
        <f>'Base-AllFTES Data'!AO59*WeightingFactors!$J$13</f>
        <v>0</v>
      </c>
      <c r="M61" s="139"/>
      <c r="N61" s="198">
        <f t="shared" si="0"/>
        <v>74647901.462699726</v>
      </c>
      <c r="O61" s="139"/>
    </row>
    <row r="62" spans="1:15" ht="15.5" x14ac:dyDescent="0.35">
      <c r="A62" s="54" t="s">
        <v>213</v>
      </c>
      <c r="B62" s="151">
        <f>'Base-BasicAllocations'!L60</f>
        <v>7497074.0814999994</v>
      </c>
      <c r="D62" s="198">
        <f>('Base-AllFTES Data'!AP60-'Base-AllFTES Data'!W60)*'Base $'!$D$3</f>
        <v>27164484.903363641</v>
      </c>
      <c r="E62" s="198">
        <f>'Base-AllFTES Data'!W60*'Base $'!$D$3</f>
        <v>805866.24381067161</v>
      </c>
      <c r="F62" s="198">
        <f>('Base-AllFTES Data'!AQ60-'Base-AllFTES Data'!X60)*'Base $'!$F$3</f>
        <v>1545615.5698624093</v>
      </c>
      <c r="G62" s="198">
        <f>'Base-AllFTES Data'!X60*'Base $'!$F$3</f>
        <v>349243.93194426346</v>
      </c>
      <c r="H62" s="139">
        <f>('Base-AllFTES Data'!AR60-'Base-AllFTES Data'!Y60)*'Base $'!$H$3</f>
        <v>975653.13850214262</v>
      </c>
      <c r="I62" s="139">
        <f>'Base-AllFTES Data'!Y60*'Base $'!$H$3</f>
        <v>100184.51690659588</v>
      </c>
      <c r="J62" s="139">
        <f>'Base-AllFTES Data'!AL60*'Base $'!$J$3</f>
        <v>1830822.9364107323</v>
      </c>
      <c r="K62" s="139">
        <f>'Base-AllFTES Data'!AN60*$K$3</f>
        <v>0</v>
      </c>
      <c r="L62" s="139">
        <f>'Base-AllFTES Data'!AO60*WeightingFactors!$J$13</f>
        <v>0</v>
      </c>
      <c r="M62" s="139"/>
      <c r="N62" s="198">
        <f t="shared" si="0"/>
        <v>40268945.322300456</v>
      </c>
      <c r="O62" s="139"/>
    </row>
    <row r="63" spans="1:15" ht="15.5" x14ac:dyDescent="0.35">
      <c r="A63" s="54" t="s">
        <v>214</v>
      </c>
      <c r="B63" s="151">
        <f>'Base-BasicAllocations'!L61</f>
        <v>3748535.0000999998</v>
      </c>
      <c r="D63" s="198">
        <f>('Base-AllFTES Data'!AP61-'Base-AllFTES Data'!W61)*'Base $'!$D$3</f>
        <v>18438864.512651205</v>
      </c>
      <c r="E63" s="198">
        <f>'Base-AllFTES Data'!W61*'Base $'!$D$3</f>
        <v>0</v>
      </c>
      <c r="F63" s="198">
        <f>('Base-AllFTES Data'!AQ61-'Base-AllFTES Data'!X61)*'Base $'!$F$3</f>
        <v>488941.89526280452</v>
      </c>
      <c r="G63" s="198">
        <f>'Base-AllFTES Data'!X61*'Base $'!$F$3</f>
        <v>0</v>
      </c>
      <c r="H63" s="139">
        <f>('Base-AllFTES Data'!AR61-'Base-AllFTES Data'!Y61)*'Base $'!$H$3</f>
        <v>152605.91986669126</v>
      </c>
      <c r="I63" s="139">
        <f>'Base-AllFTES Data'!Y61*'Base $'!$H$3</f>
        <v>0</v>
      </c>
      <c r="J63" s="139">
        <f>'Base-AllFTES Data'!AL61*'Base $'!$J$3</f>
        <v>3374079.2039229027</v>
      </c>
      <c r="K63" s="139">
        <f>'Base-AllFTES Data'!AN61*$K$3</f>
        <v>0</v>
      </c>
      <c r="L63" s="139">
        <f>'Base-AllFTES Data'!AO61*WeightingFactors!$J$13</f>
        <v>0</v>
      </c>
      <c r="M63" s="139"/>
      <c r="N63" s="198">
        <f t="shared" si="0"/>
        <v>26203026.531803604</v>
      </c>
      <c r="O63" s="139"/>
    </row>
    <row r="64" spans="1:15" ht="15.5" x14ac:dyDescent="0.35">
      <c r="A64" s="54" t="s">
        <v>215</v>
      </c>
      <c r="B64" s="151">
        <f>'Base-BasicAllocations'!L62</f>
        <v>6403750.7818999998</v>
      </c>
      <c r="D64" s="198">
        <f>('Base-AllFTES Data'!AP62-'Base-AllFTES Data'!W62)*'Base $'!$D$3</f>
        <v>41154657.097627819</v>
      </c>
      <c r="E64" s="198">
        <f>'Base-AllFTES Data'!W62*'Base $'!$D$3</f>
        <v>62673.781979902407</v>
      </c>
      <c r="F64" s="198">
        <f>('Base-AllFTES Data'!AQ62-'Base-AllFTES Data'!X62)*'Base $'!$F$3</f>
        <v>999697.8706903673</v>
      </c>
      <c r="G64" s="198">
        <f>'Base-AllFTES Data'!X62*'Base $'!$F$3</f>
        <v>121380.091750206</v>
      </c>
      <c r="H64" s="139">
        <f>('Base-AllFTES Data'!AR62-'Base-AllFTES Data'!Y62)*'Base $'!$H$3</f>
        <v>0</v>
      </c>
      <c r="I64" s="139">
        <f>'Base-AllFTES Data'!Y62*'Base $'!$H$3</f>
        <v>0</v>
      </c>
      <c r="J64" s="139">
        <f>'Base-AllFTES Data'!AL62*'Base $'!$J$3</f>
        <v>1170565.4992812064</v>
      </c>
      <c r="K64" s="139">
        <f>'Base-AllFTES Data'!AN62*$K$3</f>
        <v>0</v>
      </c>
      <c r="L64" s="139">
        <f>'Base-AllFTES Data'!AO62*WeightingFactors!$J$13</f>
        <v>0</v>
      </c>
      <c r="M64" s="139"/>
      <c r="N64" s="198">
        <f t="shared" si="0"/>
        <v>49912725.123229504</v>
      </c>
      <c r="O64" s="139"/>
    </row>
    <row r="65" spans="1:15" ht="15.5" x14ac:dyDescent="0.35">
      <c r="A65" s="54" t="s">
        <v>216</v>
      </c>
      <c r="B65" s="151">
        <f>'Base-BasicAllocations'!L63</f>
        <v>4940799.8697999995</v>
      </c>
      <c r="D65" s="198">
        <f>('Base-AllFTES Data'!AP63-'Base-AllFTES Data'!W63)*'Base $'!$D$3</f>
        <v>5218339.9781664582</v>
      </c>
      <c r="E65" s="198">
        <f>'Base-AllFTES Data'!W63*'Base $'!$D$3</f>
        <v>-523596.85857287119</v>
      </c>
      <c r="F65" s="198">
        <f>('Base-AllFTES Data'!AQ63-'Base-AllFTES Data'!X63)*'Base $'!$F$3</f>
        <v>261472.66868749555</v>
      </c>
      <c r="G65" s="198">
        <f>'Base-AllFTES Data'!X63*'Base $'!$F$3</f>
        <v>0</v>
      </c>
      <c r="H65" s="139">
        <f>('Base-AllFTES Data'!AR63-'Base-AllFTES Data'!Y63)*'Base $'!$H$3</f>
        <v>3641674.4495165544</v>
      </c>
      <c r="I65" s="139">
        <f>'Base-AllFTES Data'!Y63*'Base $'!$H$3</f>
        <v>944877.50258965907</v>
      </c>
      <c r="J65" s="139">
        <f>'Base-AllFTES Data'!AL63*'Base $'!$J$3</f>
        <v>515273.63461273687</v>
      </c>
      <c r="K65" s="139">
        <f>'Base-AllFTES Data'!AN63*$K$3</f>
        <v>0</v>
      </c>
      <c r="L65" s="139">
        <f>'Base-AllFTES Data'!AO63*WeightingFactors!$J$13</f>
        <v>0</v>
      </c>
      <c r="M65" s="139"/>
      <c r="N65" s="198">
        <f t="shared" si="0"/>
        <v>14998841.244800035</v>
      </c>
      <c r="O65" s="139"/>
    </row>
    <row r="66" spans="1:15" ht="15.5" x14ac:dyDescent="0.35">
      <c r="A66" s="54" t="s">
        <v>217</v>
      </c>
      <c r="B66" s="151">
        <f>'Base-BasicAllocations'!L64</f>
        <v>6247559.6848999998</v>
      </c>
      <c r="D66" s="198">
        <f>('Base-AllFTES Data'!AP64-'Base-AllFTES Data'!W64)*'Base $'!$D$3</f>
        <v>21420895.267242089</v>
      </c>
      <c r="E66" s="198">
        <f>'Base-AllFTES Data'!W64*'Base $'!$D$3</f>
        <v>55020.607753476354</v>
      </c>
      <c r="F66" s="198">
        <f>('Base-AllFTES Data'!AQ64-'Base-AllFTES Data'!X64)*'Base $'!$F$3</f>
        <v>57906.551987299252</v>
      </c>
      <c r="G66" s="198">
        <f>'Base-AllFTES Data'!X64*'Base $'!$F$3</f>
        <v>-101295.13448321109</v>
      </c>
      <c r="H66" s="139">
        <f>('Base-AllFTES Data'!AR64-'Base-AllFTES Data'!Y64)*'Base $'!$H$3</f>
        <v>0</v>
      </c>
      <c r="I66" s="139">
        <f>'Base-AllFTES Data'!Y64*'Base $'!$H$3</f>
        <v>0</v>
      </c>
      <c r="J66" s="139">
        <f>'Base-AllFTES Data'!AL64*'Base $'!$J$3</f>
        <v>1456222.3326178235</v>
      </c>
      <c r="K66" s="139">
        <f>'Base-AllFTES Data'!AN64*$K$3</f>
        <v>496775.51302704186</v>
      </c>
      <c r="L66" s="139">
        <f>'Base-AllFTES Data'!AO64*WeightingFactors!$J$13</f>
        <v>0</v>
      </c>
      <c r="M66" s="139"/>
      <c r="N66" s="198">
        <f t="shared" si="0"/>
        <v>29633084.82304452</v>
      </c>
      <c r="O66" s="139"/>
    </row>
    <row r="67" spans="1:15" ht="15.5" x14ac:dyDescent="0.35">
      <c r="A67" s="54" t="s">
        <v>218</v>
      </c>
      <c r="B67" s="151">
        <f>'Base-BasicAllocations'!L65</f>
        <v>9058964.5095000006</v>
      </c>
      <c r="D67" s="198">
        <f>('Base-AllFTES Data'!AP65-'Base-AllFTES Data'!W65)*'Base $'!$D$3</f>
        <v>45123025.531670704</v>
      </c>
      <c r="E67" s="198">
        <f>'Base-AllFTES Data'!W65*'Base $'!$D$3</f>
        <v>0</v>
      </c>
      <c r="F67" s="198">
        <f>('Base-AllFTES Data'!AQ65-'Base-AllFTES Data'!X65)*'Base $'!$F$3</f>
        <v>8422436.1120867636</v>
      </c>
      <c r="G67" s="198">
        <f>'Base-AllFTES Data'!X65*'Base $'!$F$3</f>
        <v>0</v>
      </c>
      <c r="H67" s="139">
        <f>('Base-AllFTES Data'!AR65-'Base-AllFTES Data'!Y65)*'Base $'!$H$3</f>
        <v>3347873.2843073248</v>
      </c>
      <c r="I67" s="139">
        <f>'Base-AllFTES Data'!Y65*'Base $'!$H$3</f>
        <v>0</v>
      </c>
      <c r="J67" s="139">
        <f>'Base-AllFTES Data'!AL65*'Base $'!$J$3</f>
        <v>2281926.0961421202</v>
      </c>
      <c r="K67" s="139">
        <f>'Base-AllFTES Data'!AN65*$K$3</f>
        <v>25919.196912109499</v>
      </c>
      <c r="L67" s="139">
        <f>'Base-AllFTES Data'!AO65*WeightingFactors!$J$13</f>
        <v>0</v>
      </c>
      <c r="M67" s="139"/>
      <c r="N67" s="198">
        <f t="shared" si="0"/>
        <v>68260144.730619013</v>
      </c>
      <c r="O67" s="139"/>
    </row>
    <row r="68" spans="1:15" ht="15.5" x14ac:dyDescent="0.35">
      <c r="A68" s="54" t="s">
        <v>219</v>
      </c>
      <c r="B68" s="151">
        <f>'Base-BasicAllocations'!L66</f>
        <v>8746586.4239000008</v>
      </c>
      <c r="D68" s="198">
        <f>('Base-AllFTES Data'!AP66-'Base-AllFTES Data'!W66)*WeightingFactors!$K$36</f>
        <v>73037829.042161793</v>
      </c>
      <c r="E68" s="198">
        <f>'Base-AllFTES Data'!W66*WeightingFactors!$K$36</f>
        <v>0</v>
      </c>
      <c r="F68" s="198">
        <f>('Base-AllFTES Data'!AQ66-'Base-AllFTES Data'!X66)*'Base $'!$F$3</f>
        <v>6355951.3177005332</v>
      </c>
      <c r="G68" s="198">
        <f>'Base-AllFTES Data'!X66*'Base $'!$F$3</f>
        <v>0</v>
      </c>
      <c r="H68" s="139">
        <f>('Base-AllFTES Data'!AR66-'Base-AllFTES Data'!Y66)*'Base $'!$H$3</f>
        <v>2802492.7035979619</v>
      </c>
      <c r="I68" s="139">
        <f>'Base-AllFTES Data'!Y66*'Base $'!$H$3</f>
        <v>0</v>
      </c>
      <c r="J68" s="139">
        <f>'Base-AllFTES Data'!AL66*WeightingFactors!$J$36</f>
        <v>3321365.0354760583</v>
      </c>
      <c r="K68" s="139">
        <f>'Base-AllFTES Data'!AN66*WeightingFactors!$J$36</f>
        <v>0</v>
      </c>
      <c r="L68" s="139">
        <f>'Base-AllFTES Data'!AO66*WeightingFactors!$J$13</f>
        <v>0</v>
      </c>
      <c r="M68" s="139"/>
      <c r="N68" s="198">
        <f t="shared" si="0"/>
        <v>94264224.522836357</v>
      </c>
      <c r="O68" s="139"/>
    </row>
    <row r="69" spans="1:15" ht="15.5" x14ac:dyDescent="0.35">
      <c r="A69" s="54" t="s">
        <v>220</v>
      </c>
      <c r="B69" s="151">
        <f>'Base-BasicAllocations'!L67</f>
        <v>8746586.4239000008</v>
      </c>
      <c r="D69" s="198">
        <f>('Base-AllFTES Data'!AP67-'Base-AllFTES Data'!W67)*'Base $'!$D$3</f>
        <v>45914993.474008404</v>
      </c>
      <c r="E69" s="198">
        <f>'Base-AllFTES Data'!W67*'Base $'!$D$3</f>
        <v>0</v>
      </c>
      <c r="F69" s="198">
        <f>('Base-AllFTES Data'!AQ67-'Base-AllFTES Data'!X67)*'Base $'!$F$3</f>
        <v>639404.61459478352</v>
      </c>
      <c r="G69" s="198">
        <f>'Base-AllFTES Data'!X67*'Base $'!$F$3</f>
        <v>0</v>
      </c>
      <c r="H69" s="139">
        <f>('Base-AllFTES Data'!AR67-'Base-AllFTES Data'!Y67)*'Base $'!$H$3</f>
        <v>182143.7458792032</v>
      </c>
      <c r="I69" s="139">
        <f>'Base-AllFTES Data'!Y67*'Base $'!$H$3</f>
        <v>0</v>
      </c>
      <c r="J69" s="139">
        <f>'Base-AllFTES Data'!AL67*'Base $'!$J$3</f>
        <v>844365.58530101564</v>
      </c>
      <c r="K69" s="139">
        <f>'Base-AllFTES Data'!AN67*$K$3</f>
        <v>156879.34973118908</v>
      </c>
      <c r="L69" s="139">
        <f>'Base-AllFTES Data'!AO67*WeightingFactors!$J$13</f>
        <v>5322.5136757536557</v>
      </c>
      <c r="M69" s="139"/>
      <c r="N69" s="198">
        <f t="shared" si="0"/>
        <v>56489695.707090355</v>
      </c>
      <c r="O69" s="139"/>
    </row>
    <row r="70" spans="1:15" ht="15.5" x14ac:dyDescent="0.35">
      <c r="A70" s="54" t="s">
        <v>221</v>
      </c>
      <c r="B70" s="151">
        <f>'Base-BasicAllocations'!L68</f>
        <v>14369387.8563</v>
      </c>
      <c r="D70" s="198">
        <f>('Base-AllFTES Data'!AP68-'Base-AllFTES Data'!W68)*'Base $'!$D$3</f>
        <v>83121195.174825341</v>
      </c>
      <c r="E70" s="198">
        <f>'Base-AllFTES Data'!W68*'Base $'!$D$3</f>
        <v>1328819.0383336698</v>
      </c>
      <c r="F70" s="198">
        <f>('Base-AllFTES Data'!AQ68-'Base-AllFTES Data'!X68)*'Base $'!$F$3</f>
        <v>611230.50327504007</v>
      </c>
      <c r="G70" s="198">
        <f>'Base-AllFTES Data'!X68*'Base $'!$F$3</f>
        <v>-242157.63478240219</v>
      </c>
      <c r="H70" s="139">
        <f>('Base-AllFTES Data'!AR68-'Base-AllFTES Data'!Y68)*'Base $'!$H$3</f>
        <v>737288.24630887515</v>
      </c>
      <c r="I70" s="139">
        <f>'Base-AllFTES Data'!Y68*'Base $'!$H$3</f>
        <v>46436.287520431964</v>
      </c>
      <c r="J70" s="139">
        <f>'Base-AllFTES Data'!AL68*'Base $'!$J$3</f>
        <v>5190823.923905584</v>
      </c>
      <c r="K70" s="139">
        <f>'Base-AllFTES Data'!AN68*$K$3</f>
        <v>0</v>
      </c>
      <c r="L70" s="139">
        <f>'Base-AllFTES Data'!AO68*WeightingFactors!$J$13</f>
        <v>0</v>
      </c>
      <c r="M70" s="139"/>
      <c r="N70" s="198">
        <f t="shared" si="0"/>
        <v>105163023.39568654</v>
      </c>
      <c r="O70" s="139"/>
    </row>
    <row r="71" spans="1:15" ht="15.5" x14ac:dyDescent="0.35">
      <c r="A71" s="54" t="s">
        <v>222</v>
      </c>
      <c r="B71" s="151">
        <f>'Base-BasicAllocations'!L69</f>
        <v>12495121.3969</v>
      </c>
      <c r="D71" s="198">
        <f>('Base-AllFTES Data'!AP69-'Base-AllFTES Data'!W69)*'Base $'!$D$3</f>
        <v>76235798.607015014</v>
      </c>
      <c r="E71" s="198">
        <f>'Base-AllFTES Data'!W69*'Base $'!$D$3</f>
        <v>28202.74832472378</v>
      </c>
      <c r="F71" s="198">
        <f>('Base-AllFTES Data'!AQ69-'Base-AllFTES Data'!X69)*'Base $'!$F$3</f>
        <v>206961.14844021792</v>
      </c>
      <c r="G71" s="198">
        <f>'Base-AllFTES Data'!X69*'Base $'!$F$3</f>
        <v>-51919.614535181885</v>
      </c>
      <c r="H71" s="139">
        <f>('Base-AllFTES Data'!AR69-'Base-AllFTES Data'!Y69)*'Base $'!$H$3</f>
        <v>0</v>
      </c>
      <c r="I71" s="139">
        <f>'Base-AllFTES Data'!Y69*'Base $'!$H$3</f>
        <v>0</v>
      </c>
      <c r="J71" s="139">
        <f>'Base-AllFTES Data'!AL69*'Base $'!$J$3</f>
        <v>3234442.940979559</v>
      </c>
      <c r="K71" s="139">
        <f>'Base-AllFTES Data'!AN69*$K$3</f>
        <v>0</v>
      </c>
      <c r="L71" s="139">
        <f>'Base-AllFTES Data'!AO69*WeightingFactors!$J$13</f>
        <v>0</v>
      </c>
      <c r="M71" s="139"/>
      <c r="N71" s="198">
        <f t="shared" ref="N71:N77" si="1">SUM(B71:L71)</f>
        <v>92148607.227124318</v>
      </c>
      <c r="O71" s="139"/>
    </row>
    <row r="72" spans="1:15" ht="15.5" x14ac:dyDescent="0.35">
      <c r="A72" s="54" t="s">
        <v>223</v>
      </c>
      <c r="B72" s="151">
        <f>'Base-BasicAllocations'!L70</f>
        <v>4998049.3966999995</v>
      </c>
      <c r="D72" s="198">
        <f>('Base-AllFTES Data'!AP70-'Base-AllFTES Data'!W70)*'Base $'!$D$3</f>
        <v>25409334.535217166</v>
      </c>
      <c r="E72" s="198">
        <f>'Base-AllFTES Data'!W70*'Base $'!$D$3</f>
        <v>-101175.50755283132</v>
      </c>
      <c r="F72" s="198">
        <f>('Base-AllFTES Data'!AQ70-'Base-AllFTES Data'!X70)*'Base $'!$F$3</f>
        <v>585565.77080964437</v>
      </c>
      <c r="G72" s="198">
        <f>'Base-AllFTES Data'!X70*'Base $'!$F$3</f>
        <v>603586.4408019759</v>
      </c>
      <c r="H72" s="139">
        <f>('Base-AllFTES Data'!AR70-'Base-AllFTES Data'!Y70)*'Base $'!$H$3</f>
        <v>0</v>
      </c>
      <c r="I72" s="139">
        <f>'Base-AllFTES Data'!Y70*'Base $'!$H$3</f>
        <v>0</v>
      </c>
      <c r="J72" s="139">
        <f>'Base-AllFTES Data'!AL70*'Base $'!$J$3</f>
        <v>5427861.8005081182</v>
      </c>
      <c r="K72" s="139">
        <f>'Base-AllFTES Data'!AN70*$K$3</f>
        <v>0</v>
      </c>
      <c r="L72" s="139">
        <f>'Base-AllFTES Data'!AO70*WeightingFactors!$J$13</f>
        <v>0</v>
      </c>
      <c r="M72" s="139"/>
      <c r="N72" s="198">
        <f t="shared" si="1"/>
        <v>36923222.436484069</v>
      </c>
      <c r="O72" s="139"/>
    </row>
    <row r="73" spans="1:15" ht="15.5" x14ac:dyDescent="0.35">
      <c r="A73" s="54" t="s">
        <v>224</v>
      </c>
      <c r="B73" s="151">
        <f>'Base-BasicAllocations'!L71</f>
        <v>7809448.0586999999</v>
      </c>
      <c r="D73" s="198">
        <f>('Base-AllFTES Data'!AP71-'Base-AllFTES Data'!W71)*'Base $'!$D$3</f>
        <v>14785583.734404366</v>
      </c>
      <c r="E73" s="198">
        <f>'Base-AllFTES Data'!W71*'Base $'!$D$3</f>
        <v>369686.71707738063</v>
      </c>
      <c r="F73" s="198">
        <f>('Base-AllFTES Data'!AQ71-'Base-AllFTES Data'!X71)*'Base $'!$F$3</f>
        <v>1126621.0446537093</v>
      </c>
      <c r="G73" s="198">
        <f>'Base-AllFTES Data'!X71*'Base $'!$F$3</f>
        <v>-75285.114822452655</v>
      </c>
      <c r="H73" s="139">
        <f>('Base-AllFTES Data'!AR71-'Base-AllFTES Data'!Y71)*'Base $'!$H$3</f>
        <v>0</v>
      </c>
      <c r="I73" s="139">
        <f>'Base-AllFTES Data'!Y71*'Base $'!$H$3</f>
        <v>0</v>
      </c>
      <c r="J73" s="139">
        <f>'Base-AllFTES Data'!AL71*'Base $'!$J$3</f>
        <v>1857506.06754762</v>
      </c>
      <c r="K73" s="139">
        <f>'Base-AllFTES Data'!AN71*$K$3</f>
        <v>0</v>
      </c>
      <c r="L73" s="139">
        <f>'Base-AllFTES Data'!AO71*WeightingFactors!$J$13</f>
        <v>0</v>
      </c>
      <c r="M73" s="139"/>
      <c r="N73" s="198">
        <f t="shared" si="1"/>
        <v>25873560.507560626</v>
      </c>
      <c r="O73" s="139"/>
    </row>
    <row r="74" spans="1:15" ht="15.5" x14ac:dyDescent="0.35">
      <c r="A74" s="54" t="s">
        <v>225</v>
      </c>
      <c r="B74" s="151">
        <f>'Base-BasicAllocations'!L72</f>
        <v>4940799.8697999995</v>
      </c>
      <c r="D74" s="198">
        <f>('Base-AllFTES Data'!AP72-'Base-AllFTES Data'!W72)*WeightingFactors!$K$37</f>
        <v>10382323.681132792</v>
      </c>
      <c r="E74" s="198">
        <f>'Base-AllFTES Data'!W72*WeightingFactors!$K$37</f>
        <v>363873.30478672154</v>
      </c>
      <c r="F74" s="198">
        <f>('Base-AllFTES Data'!AQ72-'Base-AllFTES Data'!X72)*'Base $'!$F$3</f>
        <v>34970.14226375673</v>
      </c>
      <c r="G74" s="198">
        <f>'Base-AllFTES Data'!X72*'Base $'!$F$3</f>
        <v>-104910.42679127018</v>
      </c>
      <c r="H74" s="139">
        <f>('Base-AllFTES Data'!AR72-'Base-AllFTES Data'!Y72)*'Base $'!$H$3</f>
        <v>0</v>
      </c>
      <c r="I74" s="139">
        <f>'Base-AllFTES Data'!Y72*'Base $'!$H$3</f>
        <v>0</v>
      </c>
      <c r="J74" s="139">
        <f>'Base-AllFTES Data'!AL72*WeightingFactors!$J$37</f>
        <v>126907.93435010446</v>
      </c>
      <c r="K74" s="139">
        <f>'Base-AllFTES Data'!AN72*WeightingFactors!$J$37</f>
        <v>423989.51316739508</v>
      </c>
      <c r="L74" s="139">
        <f>'Base-AllFTES Data'!AO72*WeightingFactors!$J$13</f>
        <v>0</v>
      </c>
      <c r="M74" s="139"/>
      <c r="N74" s="198">
        <f t="shared" si="1"/>
        <v>16167954.018709499</v>
      </c>
      <c r="O74" s="139"/>
    </row>
    <row r="75" spans="1:15" ht="15.5" x14ac:dyDescent="0.35">
      <c r="A75" s="54" t="s">
        <v>226</v>
      </c>
      <c r="B75" s="151">
        <f>'Base-BasicAllocations'!L73</f>
        <v>7497069.9730999991</v>
      </c>
      <c r="D75" s="198">
        <f>('Base-AllFTES Data'!AP73-'Base-AllFTES Data'!W73)*'Base $'!$D$3</f>
        <v>35599264.539162867</v>
      </c>
      <c r="E75" s="198">
        <f>'Base-AllFTES Data'!W73*'Base $'!$D$3</f>
        <v>0</v>
      </c>
      <c r="F75" s="198">
        <f>('Base-AllFTES Data'!AQ73-'Base-AllFTES Data'!X73)*'Base $'!$F$3</f>
        <v>3717424.3157617571</v>
      </c>
      <c r="G75" s="198">
        <f>'Base-AllFTES Data'!X73*'Base $'!$F$3</f>
        <v>0</v>
      </c>
      <c r="H75" s="139">
        <f>('Base-AllFTES Data'!AR73-'Base-AllFTES Data'!Y73)*'Base $'!$H$3</f>
        <v>0</v>
      </c>
      <c r="I75" s="139">
        <f>'Base-AllFTES Data'!Y73*'Base $'!$H$3</f>
        <v>0</v>
      </c>
      <c r="J75" s="139">
        <f>'Base-AllFTES Data'!AL73*'Base $'!$J$3</f>
        <v>1602570.3033931449</v>
      </c>
      <c r="K75" s="139">
        <f>'Base-AllFTES Data'!AN73*$K$3</f>
        <v>0</v>
      </c>
      <c r="L75" s="139">
        <f>'Base-AllFTES Data'!AO73*WeightingFactors!$J$13</f>
        <v>0</v>
      </c>
      <c r="M75" s="139"/>
      <c r="N75" s="198">
        <f t="shared" si="1"/>
        <v>48416329.131417774</v>
      </c>
      <c r="O75" s="139"/>
    </row>
    <row r="76" spans="1:15" ht="15.5" x14ac:dyDescent="0.35">
      <c r="A76" s="54" t="s">
        <v>227</v>
      </c>
      <c r="B76" s="151">
        <f>'Base-BasicAllocations'!L74</f>
        <v>8121828.1984999999</v>
      </c>
      <c r="D76" s="198">
        <f>('Base-AllFTES Data'!AP74-'Base-AllFTES Data'!W74)*'Base $'!$D$3</f>
        <v>46874968.178629823</v>
      </c>
      <c r="E76" s="198">
        <f>'Base-AllFTES Data'!W74*'Base $'!$D$3</f>
        <v>0</v>
      </c>
      <c r="F76" s="198">
        <f>('Base-AllFTES Data'!AQ74-'Base-AllFTES Data'!X74)*'Base $'!$F$3</f>
        <v>794186.24022613699</v>
      </c>
      <c r="G76" s="198">
        <f>'Base-AllFTES Data'!X74*'Base $'!$F$3</f>
        <v>0</v>
      </c>
      <c r="H76" s="139">
        <f>('Base-AllFTES Data'!AR74-'Base-AllFTES Data'!Y74)*'Base $'!$H$3</f>
        <v>1073677.6968682555</v>
      </c>
      <c r="I76" s="139">
        <f>'Base-AllFTES Data'!Y74*'Base $'!$H$3</f>
        <v>0</v>
      </c>
      <c r="J76" s="139">
        <f>'Base-AllFTES Data'!AL74*'Base $'!$J$3</f>
        <v>1144810.0025601208</v>
      </c>
      <c r="K76" s="139">
        <f>'Base-AllFTES Data'!AN74*$K$3</f>
        <v>176632.50611473355</v>
      </c>
      <c r="L76" s="139">
        <f>'Base-AllFTES Data'!AO74*WeightingFactors!$J$13</f>
        <v>0</v>
      </c>
      <c r="M76" s="139"/>
      <c r="N76" s="198">
        <f t="shared" si="1"/>
        <v>58186102.822899073</v>
      </c>
      <c r="O76" s="139"/>
    </row>
    <row r="77" spans="1:15" ht="15.5" x14ac:dyDescent="0.35">
      <c r="A77" s="54" t="s">
        <v>228</v>
      </c>
      <c r="B77" s="151">
        <f>'Base-BasicAllocations'!L75</f>
        <v>9371338.4867000002</v>
      </c>
      <c r="D77" s="198">
        <f>('Base-AllFTES Data'!AP75-'Base-AllFTES Data'!W75)*'Base $'!$D$3</f>
        <v>21520257.239603378</v>
      </c>
      <c r="E77" s="198">
        <f>'Base-AllFTES Data'!W75*'Base $'!$D$3</f>
        <v>20981.973906428466</v>
      </c>
      <c r="F77" s="198">
        <f>('Base-AllFTES Data'!AQ75-'Base-AllFTES Data'!X75)*'Base $'!$F$3</f>
        <v>575556.76710492524</v>
      </c>
      <c r="G77" s="198">
        <f>'Base-AllFTES Data'!X75*'Base $'!$F$3</f>
        <v>-38630.067810186905</v>
      </c>
      <c r="H77" s="139">
        <f>('Base-AllFTES Data'!AR75-'Base-AllFTES Data'!Y75)*'Base $'!$H$3</f>
        <v>0</v>
      </c>
      <c r="I77" s="139">
        <f>'Base-AllFTES Data'!Y75*'Base $'!$H$3</f>
        <v>0</v>
      </c>
      <c r="J77" s="139">
        <f>'Base-AllFTES Data'!AL75*'Base $'!$J$3</f>
        <v>1847520.3558951649</v>
      </c>
      <c r="K77" s="139">
        <f>'Base-AllFTES Data'!AN75*$K$3</f>
        <v>0</v>
      </c>
      <c r="L77" s="139">
        <f>'Base-AllFTES Data'!AO75*WeightingFactors!$J$13</f>
        <v>0</v>
      </c>
      <c r="M77" s="139"/>
      <c r="N77" s="198">
        <f t="shared" si="1"/>
        <v>33297024.755399708</v>
      </c>
      <c r="O77" s="139"/>
    </row>
    <row r="78" spans="1:15" x14ac:dyDescent="0.35">
      <c r="A78" s="33" t="s">
        <v>154</v>
      </c>
      <c r="B78" s="151">
        <f>'Base-BasicAllocations'!L76</f>
        <v>583619987.73149991</v>
      </c>
      <c r="D78" s="198">
        <f>SUM(D6:D77)</f>
        <v>3141026657.4867272</v>
      </c>
      <c r="E78" s="198">
        <f>SUM(E6:E77)</f>
        <v>19278087.629713967</v>
      </c>
      <c r="F78" s="198">
        <f>SUM(F6:F77)</f>
        <v>105088193.81829917</v>
      </c>
      <c r="G78" s="198">
        <f t="shared" ref="G78:N78" si="2">SUM(G6:G77)</f>
        <v>2907699.2635428552</v>
      </c>
      <c r="H78" s="198">
        <f t="shared" si="2"/>
        <v>213602225.85361749</v>
      </c>
      <c r="I78" s="198">
        <f t="shared" si="2"/>
        <v>-3005775.6008113781</v>
      </c>
      <c r="J78" s="198">
        <f t="shared" si="2"/>
        <v>160823877.29090902</v>
      </c>
      <c r="K78" s="198">
        <f t="shared" si="2"/>
        <v>15907164.311739989</v>
      </c>
      <c r="L78" s="198">
        <f t="shared" si="2"/>
        <v>1703070.4765260564</v>
      </c>
      <c r="M78" s="198">
        <f t="shared" si="2"/>
        <v>0</v>
      </c>
      <c r="N78" s="198">
        <f t="shared" si="2"/>
        <v>4240951188.2617621</v>
      </c>
      <c r="O78" s="139"/>
    </row>
    <row r="80" spans="1:15" x14ac:dyDescent="0.35">
      <c r="D80" s="200">
        <f>D78+E78</f>
        <v>3160304745.1164412</v>
      </c>
      <c r="F80" s="200">
        <f>F78+G78</f>
        <v>107995893.08184204</v>
      </c>
      <c r="H80" s="200">
        <f>H78+I78</f>
        <v>210596450.2528061</v>
      </c>
    </row>
    <row r="81" spans="4:4" x14ac:dyDescent="0.35">
      <c r="D81" s="200"/>
    </row>
  </sheetData>
  <mergeCells count="10">
    <mergeCell ref="A1:F1"/>
    <mergeCell ref="A2:G2"/>
    <mergeCell ref="K4:L4"/>
    <mergeCell ref="D4:E4"/>
    <mergeCell ref="F4:G4"/>
    <mergeCell ref="H4:I4"/>
    <mergeCell ref="B3:C3"/>
    <mergeCell ref="D3:E3"/>
    <mergeCell ref="F3:G3"/>
    <mergeCell ref="H3:I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E76"/>
  <sheetViews>
    <sheetView workbookViewId="0">
      <pane ySplit="3" topLeftCell="A4" activePane="bottomLeft" state="frozen"/>
      <selection pane="bottomLeft" activeCell="C4" sqref="C4"/>
    </sheetView>
  </sheetViews>
  <sheetFormatPr defaultRowHeight="14.5" x14ac:dyDescent="0.35"/>
  <cols>
    <col min="1" max="1" width="34.453125" style="3" customWidth="1"/>
    <col min="2" max="3" width="22.36328125" customWidth="1"/>
    <col min="4" max="4" width="9.6328125" customWidth="1"/>
    <col min="5" max="5" width="19.36328125" customWidth="1"/>
  </cols>
  <sheetData>
    <row r="1" spans="1:5" s="195" customFormat="1" ht="41.25" customHeight="1" x14ac:dyDescent="0.35">
      <c r="A1" s="263" t="s">
        <v>360</v>
      </c>
      <c r="B1" s="263"/>
      <c r="C1" s="263"/>
      <c r="D1" s="263"/>
      <c r="E1" s="263"/>
    </row>
    <row r="2" spans="1:5" ht="29.25" customHeight="1" x14ac:dyDescent="0.35">
      <c r="A2" s="236" t="s">
        <v>477</v>
      </c>
      <c r="B2" s="154">
        <f>WeightingFactors!$B$12*WeightingFactors!$B$17</f>
        <v>1526.0430819403343</v>
      </c>
      <c r="C2" s="154">
        <f>WeightingFactors!$B$13*WeightingFactors!$B$17</f>
        <v>1526.0430819403343</v>
      </c>
      <c r="D2" s="154"/>
    </row>
    <row r="3" spans="1:5" s="149" customFormat="1" ht="39.75" customHeight="1" x14ac:dyDescent="0.35">
      <c r="A3" s="147" t="s">
        <v>155</v>
      </c>
      <c r="B3" s="149" t="s">
        <v>359</v>
      </c>
      <c r="C3" s="149" t="s">
        <v>323</v>
      </c>
      <c r="D3" s="201"/>
      <c r="E3" s="149" t="s">
        <v>366</v>
      </c>
    </row>
    <row r="4" spans="1:5" ht="15.5" x14ac:dyDescent="0.35">
      <c r="A4" s="52" t="s">
        <v>157</v>
      </c>
      <c r="B4" s="139">
        <f>WeightingFactors!$B$12*WeightingFactors!$B$17*('Supplemental Data'!D2+'Supplemental Data'!J2)</f>
        <v>6180894.7887895294</v>
      </c>
      <c r="C4" s="139">
        <f>WeightingFactors!$B$13*WeightingFactors!$B$17*('Supplemental Data'!P2)</f>
        <v>5033136.6966644702</v>
      </c>
      <c r="D4" s="198"/>
      <c r="E4" s="142">
        <f>SUM(B4:C4)</f>
        <v>11214031.485454001</v>
      </c>
    </row>
    <row r="5" spans="1:5" ht="15.5" x14ac:dyDescent="0.35">
      <c r="A5" s="54" t="s">
        <v>158</v>
      </c>
      <c r="B5" s="139">
        <f>WeightingFactors!$B$12*WeightingFactors!$B$17*('Supplemental Data'!D3+'Supplemental Data'!J3)</f>
        <v>12761532.615705015</v>
      </c>
      <c r="C5" s="139">
        <f>WeightingFactors!$B$13*WeightingFactors!$B$17*('Supplemental Data'!P3)</f>
        <v>8110543.6871323762</v>
      </c>
      <c r="D5" s="198"/>
      <c r="E5" s="142">
        <f t="shared" ref="E5:E68" si="0">SUM(B5:C5)</f>
        <v>20872076.30283739</v>
      </c>
    </row>
    <row r="6" spans="1:5" ht="15.5" x14ac:dyDescent="0.35">
      <c r="A6" s="54" t="s">
        <v>159</v>
      </c>
      <c r="B6" s="139">
        <f>WeightingFactors!$B$12*WeightingFactors!$B$17*('Supplemental Data'!D4+'Supplemental Data'!J4)</f>
        <v>3238095.7145060734</v>
      </c>
      <c r="C6" s="139">
        <f>WeightingFactors!$B$13*WeightingFactors!$B$17*('Supplemental Data'!P4)</f>
        <v>2967815.8746462432</v>
      </c>
      <c r="D6" s="198"/>
      <c r="E6" s="142">
        <f t="shared" si="0"/>
        <v>6205911.5891523166</v>
      </c>
    </row>
    <row r="7" spans="1:5" ht="15.5" x14ac:dyDescent="0.35">
      <c r="A7" s="54" t="s">
        <v>160</v>
      </c>
      <c r="B7" s="139">
        <f>WeightingFactors!$B$12*WeightingFactors!$B$17*('Supplemental Data'!D5+'Supplemental Data'!J5)</f>
        <v>8699003.472870091</v>
      </c>
      <c r="C7" s="139">
        <f>WeightingFactors!$B$13*WeightingFactors!$B$17*('Supplemental Data'!P5)</f>
        <v>4526186.3385987449</v>
      </c>
      <c r="D7" s="198"/>
      <c r="E7" s="142">
        <f t="shared" si="0"/>
        <v>13225189.811468836</v>
      </c>
    </row>
    <row r="8" spans="1:5" ht="15.5" x14ac:dyDescent="0.35">
      <c r="A8" s="54" t="s">
        <v>161</v>
      </c>
      <c r="B8" s="139">
        <f>WeightingFactors!$B$12*WeightingFactors!$B$17*('Supplemental Data'!D6+'Supplemental Data'!J6)</f>
        <v>5279522.1392347831</v>
      </c>
      <c r="C8" s="139">
        <f>WeightingFactors!$B$13*WeightingFactors!$B$17*('Supplemental Data'!P6)</f>
        <v>4319324.1092245663</v>
      </c>
      <c r="D8" s="198"/>
      <c r="E8" s="142">
        <f t="shared" si="0"/>
        <v>9598846.2484593503</v>
      </c>
    </row>
    <row r="9" spans="1:5" ht="15.5" x14ac:dyDescent="0.35">
      <c r="A9" s="54" t="s">
        <v>162</v>
      </c>
      <c r="B9" s="139">
        <f>WeightingFactors!$B$12*WeightingFactors!$B$17*('Supplemental Data'!D7+'Supplemental Data'!J7)</f>
        <v>18991120.969975442</v>
      </c>
      <c r="C9" s="139">
        <f>WeightingFactors!$B$13*WeightingFactors!$B$17*('Supplemental Data'!P7)</f>
        <v>10412304.037598563</v>
      </c>
      <c r="D9" s="198"/>
      <c r="E9" s="142">
        <f t="shared" si="0"/>
        <v>29403425.007574007</v>
      </c>
    </row>
    <row r="10" spans="1:5" ht="15.5" x14ac:dyDescent="0.35">
      <c r="A10" s="54" t="s">
        <v>163</v>
      </c>
      <c r="B10" s="139">
        <f>WeightingFactors!$B$12*WeightingFactors!$B$17*('Supplemental Data'!D8+'Supplemental Data'!J8)</f>
        <v>7553248.2912229048</v>
      </c>
      <c r="C10" s="139">
        <f>WeightingFactors!$B$13*WeightingFactors!$B$17*('Supplemental Data'!P8)</f>
        <v>6256682.4546658285</v>
      </c>
      <c r="D10" s="198"/>
      <c r="E10" s="142">
        <f t="shared" si="0"/>
        <v>13809930.745888732</v>
      </c>
    </row>
    <row r="11" spans="1:5" ht="15.5" x14ac:dyDescent="0.35">
      <c r="A11" s="54" t="s">
        <v>164</v>
      </c>
      <c r="B11" s="139">
        <f>WeightingFactors!$B$12*WeightingFactors!$B$17*('Supplemental Data'!D9+'Supplemental Data'!J9)</f>
        <v>14394406.94437141</v>
      </c>
      <c r="C11" s="139">
        <f>WeightingFactors!$B$13*WeightingFactors!$B$17*('Supplemental Data'!P9)</f>
        <v>10360333.937834976</v>
      </c>
      <c r="D11" s="198"/>
      <c r="E11" s="142">
        <f t="shared" si="0"/>
        <v>24754740.882206388</v>
      </c>
    </row>
    <row r="12" spans="1:5" ht="15.5" x14ac:dyDescent="0.35">
      <c r="A12" s="54" t="s">
        <v>165</v>
      </c>
      <c r="B12" s="139">
        <f>WeightingFactors!$B$12*WeightingFactors!$B$17*('Supplemental Data'!D10+'Supplemental Data'!J10)</f>
        <v>7980716.057674882</v>
      </c>
      <c r="C12" s="139">
        <f>WeightingFactors!$B$13*WeightingFactors!$B$17*('Supplemental Data'!P10)</f>
        <v>5390788.3684682669</v>
      </c>
      <c r="D12" s="198"/>
      <c r="E12" s="142">
        <f t="shared" si="0"/>
        <v>13371504.426143149</v>
      </c>
    </row>
    <row r="13" spans="1:5" ht="15.5" x14ac:dyDescent="0.35">
      <c r="A13" s="54" t="s">
        <v>166</v>
      </c>
      <c r="B13" s="139">
        <f>WeightingFactors!$B$12*WeightingFactors!$B$17*('Supplemental Data'!D11+'Supplemental Data'!J11)</f>
        <v>21063711.614522699</v>
      </c>
      <c r="C13" s="139">
        <f>WeightingFactors!$B$13*WeightingFactors!$B$17*('Supplemental Data'!P11)</f>
        <v>24048020.468697287</v>
      </c>
      <c r="D13" s="198"/>
      <c r="E13" s="142">
        <f t="shared" si="0"/>
        <v>45111732.08321999</v>
      </c>
    </row>
    <row r="14" spans="1:5" ht="15.5" x14ac:dyDescent="0.35">
      <c r="A14" s="54" t="s">
        <v>167</v>
      </c>
      <c r="B14" s="139">
        <f>WeightingFactors!$B$12*WeightingFactors!$B$17*('Supplemental Data'!D12+'Supplemental Data'!J12)</f>
        <v>5916353.3367670504</v>
      </c>
      <c r="C14" s="139">
        <f>WeightingFactors!$B$13*WeightingFactors!$B$17*('Supplemental Data'!P12)</f>
        <v>3457782.7301512742</v>
      </c>
      <c r="D14" s="198"/>
      <c r="E14" s="142">
        <f t="shared" si="0"/>
        <v>9374136.0669183247</v>
      </c>
    </row>
    <row r="15" spans="1:5" ht="15.5" x14ac:dyDescent="0.35">
      <c r="A15" s="54" t="s">
        <v>168</v>
      </c>
      <c r="B15" s="139">
        <f>WeightingFactors!$B$12*WeightingFactors!$B$17*('Supplemental Data'!D13+'Supplemental Data'!J13)</f>
        <v>18016253.746344488</v>
      </c>
      <c r="C15" s="139">
        <f>WeightingFactors!$B$13*WeightingFactors!$B$17*('Supplemental Data'!P13)</f>
        <v>10578124.864548216</v>
      </c>
      <c r="D15" s="198"/>
      <c r="E15" s="142">
        <f t="shared" si="0"/>
        <v>28594378.610892706</v>
      </c>
    </row>
    <row r="16" spans="1:5" ht="15.5" x14ac:dyDescent="0.35">
      <c r="A16" s="54" t="s">
        <v>169</v>
      </c>
      <c r="B16" s="139">
        <f>WeightingFactors!$B$12*WeightingFactors!$B$17*('Supplemental Data'!D14+'Supplemental Data'!J14)</f>
        <v>1764753.0591118126</v>
      </c>
      <c r="C16" s="139">
        <f>WeightingFactors!$B$13*WeightingFactors!$B$17*('Supplemental Data'!P14)</f>
        <v>1338887.4214399301</v>
      </c>
      <c r="D16" s="198"/>
      <c r="E16" s="142">
        <f t="shared" si="0"/>
        <v>3103640.4805517429</v>
      </c>
    </row>
    <row r="17" spans="1:5" ht="15.5" x14ac:dyDescent="0.35">
      <c r="A17" s="54" t="s">
        <v>170</v>
      </c>
      <c r="B17" s="139">
        <f>WeightingFactors!$B$12*WeightingFactors!$B$17*('Supplemental Data'!D15+'Supplemental Data'!J15)</f>
        <v>8998016.7322503738</v>
      </c>
      <c r="C17" s="139">
        <f>WeightingFactors!$B$13*WeightingFactors!$B$17*('Supplemental Data'!P15)</f>
        <v>5095921.2316791574</v>
      </c>
      <c r="D17" s="198"/>
      <c r="E17" s="142">
        <f t="shared" si="0"/>
        <v>14093937.96392953</v>
      </c>
    </row>
    <row r="18" spans="1:5" ht="15.5" x14ac:dyDescent="0.35">
      <c r="A18" s="54" t="s">
        <v>171</v>
      </c>
      <c r="B18" s="139">
        <f>WeightingFactors!$B$12*WeightingFactors!$B$17*('Supplemental Data'!D16+'Supplemental Data'!J16)</f>
        <v>19886815.90889167</v>
      </c>
      <c r="C18" s="139">
        <f>WeightingFactors!$B$13*WeightingFactors!$B$17*('Supplemental Data'!P16)</f>
        <v>7993232.4460080042</v>
      </c>
      <c r="D18" s="198"/>
      <c r="E18" s="142">
        <f t="shared" si="0"/>
        <v>27880048.354899675</v>
      </c>
    </row>
    <row r="19" spans="1:5" ht="15.5" x14ac:dyDescent="0.35">
      <c r="A19" s="54" t="s">
        <v>172</v>
      </c>
      <c r="B19" s="139">
        <f>WeightingFactors!$B$12*WeightingFactors!$B$17*('Supplemental Data'!D17+'Supplemental Data'!J17)</f>
        <v>613678.83946889557</v>
      </c>
      <c r="C19" s="139">
        <f>WeightingFactors!$B$13*WeightingFactors!$B$17*('Supplemental Data'!P17)</f>
        <v>1534720.8858352536</v>
      </c>
      <c r="D19" s="198"/>
      <c r="E19" s="142">
        <f t="shared" si="0"/>
        <v>2148399.7253041491</v>
      </c>
    </row>
    <row r="20" spans="1:5" ht="15.5" x14ac:dyDescent="0.35">
      <c r="A20" s="54" t="s">
        <v>173</v>
      </c>
      <c r="B20" s="139">
        <f>WeightingFactors!$B$12*WeightingFactors!$B$17*('Supplemental Data'!D18+'Supplemental Data'!J18)</f>
        <v>12292115.182694213</v>
      </c>
      <c r="C20" s="139">
        <f>WeightingFactors!$B$13*WeightingFactors!$B$17*('Supplemental Data'!P18)</f>
        <v>1618497.6546820269</v>
      </c>
      <c r="D20" s="198"/>
      <c r="E20" s="142">
        <f t="shared" si="0"/>
        <v>13910612.837376241</v>
      </c>
    </row>
    <row r="21" spans="1:5" ht="15.5" x14ac:dyDescent="0.35">
      <c r="A21" s="54" t="s">
        <v>174</v>
      </c>
      <c r="B21" s="139">
        <f>WeightingFactors!$B$12*WeightingFactors!$B$17*('Supplemental Data'!D19+'Supplemental Data'!J19)</f>
        <v>3069392.4871003744</v>
      </c>
      <c r="C21" s="139">
        <f>WeightingFactors!$B$13*WeightingFactors!$B$17*('Supplemental Data'!P19)</f>
        <v>1618497.6546820269</v>
      </c>
      <c r="D21" s="198"/>
      <c r="E21" s="142">
        <f t="shared" si="0"/>
        <v>4687890.1417824011</v>
      </c>
    </row>
    <row r="22" spans="1:5" ht="15.5" x14ac:dyDescent="0.35">
      <c r="A22" s="54" t="s">
        <v>175</v>
      </c>
      <c r="B22" s="139">
        <f>WeightingFactors!$B$12*WeightingFactors!$B$17*('Supplemental Data'!D20+'Supplemental Data'!J20)</f>
        <v>10417161.291673835</v>
      </c>
      <c r="C22" s="139">
        <f>WeightingFactors!$B$13*WeightingFactors!$B$17*('Supplemental Data'!P20)</f>
        <v>9363652.1519835461</v>
      </c>
      <c r="D22" s="198"/>
      <c r="E22" s="142">
        <f t="shared" si="0"/>
        <v>19780813.443657383</v>
      </c>
    </row>
    <row r="23" spans="1:5" ht="15.5" x14ac:dyDescent="0.35">
      <c r="A23" s="54" t="s">
        <v>176</v>
      </c>
      <c r="B23" s="139">
        <f>WeightingFactors!$B$12*WeightingFactors!$B$17*('Supplemental Data'!D21+'Supplemental Data'!J21)</f>
        <v>14184823.980124267</v>
      </c>
      <c r="C23" s="139">
        <f>WeightingFactors!$B$13*WeightingFactors!$B$17*('Supplemental Data'!P21)</f>
        <v>12937585.86229315</v>
      </c>
      <c r="D23" s="198"/>
      <c r="E23" s="142">
        <f t="shared" si="0"/>
        <v>27122409.842417419</v>
      </c>
    </row>
    <row r="24" spans="1:5" ht="15.5" x14ac:dyDescent="0.35">
      <c r="A24" s="54" t="s">
        <v>177</v>
      </c>
      <c r="B24" s="139">
        <f>WeightingFactors!$B$12*WeightingFactors!$B$17*('Supplemental Data'!D22+'Supplemental Data'!J22)</f>
        <v>6036811.1761813434</v>
      </c>
      <c r="C24" s="139">
        <f>WeightingFactors!$B$13*WeightingFactors!$B$17*('Supplemental Data'!P22)</f>
        <v>3934330.4406964993</v>
      </c>
      <c r="D24" s="198"/>
      <c r="E24" s="142">
        <f t="shared" si="0"/>
        <v>9971141.6168778427</v>
      </c>
    </row>
    <row r="25" spans="1:5" ht="15.5" x14ac:dyDescent="0.35">
      <c r="A25" s="54" t="s">
        <v>178</v>
      </c>
      <c r="B25" s="139">
        <f>WeightingFactors!$B$12*WeightingFactors!$B$17*('Supplemental Data'!D23+'Supplemental Data'!J23)</f>
        <v>8239737.3284698008</v>
      </c>
      <c r="C25" s="139">
        <f>WeightingFactors!$B$13*WeightingFactors!$B$17*('Supplemental Data'!P23)</f>
        <v>4190220.1679103435</v>
      </c>
      <c r="D25" s="198"/>
      <c r="E25" s="142">
        <f t="shared" si="0"/>
        <v>12429957.496380145</v>
      </c>
    </row>
    <row r="26" spans="1:5" ht="15.5" x14ac:dyDescent="0.35">
      <c r="A26" s="54" t="s">
        <v>179</v>
      </c>
      <c r="B26" s="139">
        <f>WeightingFactors!$B$12*WeightingFactors!$B$17*('Supplemental Data'!D24+'Supplemental Data'!J24)</f>
        <v>21944684.55177857</v>
      </c>
      <c r="C26" s="139">
        <f>WeightingFactors!$B$13*WeightingFactors!$B$17*('Supplemental Data'!P24)</f>
        <v>12369561.670477074</v>
      </c>
      <c r="D26" s="198"/>
      <c r="E26" s="142">
        <f t="shared" si="0"/>
        <v>34314246.222255647</v>
      </c>
    </row>
    <row r="27" spans="1:5" ht="15.5" x14ac:dyDescent="0.35">
      <c r="A27" s="54" t="s">
        <v>180</v>
      </c>
      <c r="B27" s="139">
        <f>WeightingFactors!$B$12*WeightingFactors!$B$17*('Supplemental Data'!D25+'Supplemental Data'!J25)</f>
        <v>1174674.6634054091</v>
      </c>
      <c r="C27" s="139">
        <f>WeightingFactors!$B$13*WeightingFactors!$B$17*('Supplemental Data'!P25)</f>
        <v>1609922.4381849181</v>
      </c>
      <c r="D27" s="198"/>
      <c r="E27" s="142">
        <f t="shared" si="0"/>
        <v>2784597.101590327</v>
      </c>
    </row>
    <row r="28" spans="1:5" ht="15.5" x14ac:dyDescent="0.35">
      <c r="A28" s="54" t="s">
        <v>181</v>
      </c>
      <c r="B28" s="139">
        <f>WeightingFactors!$B$12*WeightingFactors!$B$17*('Supplemental Data'!D26+'Supplemental Data'!J26)</f>
        <v>919655.90712261107</v>
      </c>
      <c r="C28" s="139">
        <f>WeightingFactors!$B$13*WeightingFactors!$B$17*('Supplemental Data'!P26)</f>
        <v>2884974.5858503263</v>
      </c>
      <c r="D28" s="198"/>
      <c r="E28" s="142">
        <f t="shared" si="0"/>
        <v>3804630.4929729374</v>
      </c>
    </row>
    <row r="29" spans="1:5" ht="15.5" x14ac:dyDescent="0.35">
      <c r="A29" s="54" t="s">
        <v>182</v>
      </c>
      <c r="B29" s="139">
        <f>WeightingFactors!$B$12*WeightingFactors!$B$17*('Supplemental Data'!D27+'Supplemental Data'!J27)</f>
        <v>16099280.69185799</v>
      </c>
      <c r="C29" s="139">
        <f>WeightingFactors!$B$13*WeightingFactors!$B$17*('Supplemental Data'!P27)</f>
        <v>10603992.778981348</v>
      </c>
      <c r="D29" s="198"/>
      <c r="E29" s="142">
        <f t="shared" si="0"/>
        <v>26703273.470839337</v>
      </c>
    </row>
    <row r="30" spans="1:5" ht="15.5" x14ac:dyDescent="0.35">
      <c r="A30" s="54" t="s">
        <v>183</v>
      </c>
      <c r="B30" s="139">
        <f>WeightingFactors!$B$12*WeightingFactors!$B$17*('Supplemental Data'!D28+'Supplemental Data'!J28)</f>
        <v>86132482.324039742</v>
      </c>
      <c r="C30" s="139">
        <f>WeightingFactors!$B$13*WeightingFactors!$B$17*('Supplemental Data'!P28)</f>
        <v>69074759.875327036</v>
      </c>
      <c r="D30" s="198"/>
      <c r="E30" s="142">
        <f t="shared" si="0"/>
        <v>155207242.19936678</v>
      </c>
    </row>
    <row r="31" spans="1:5" ht="15.5" x14ac:dyDescent="0.35">
      <c r="A31" s="54" t="s">
        <v>184</v>
      </c>
      <c r="B31" s="139">
        <f>WeightingFactors!$B$12*WeightingFactors!$B$17*('Supplemental Data'!D29+'Supplemental Data'!J29)</f>
        <v>34199833.179949969</v>
      </c>
      <c r="C31" s="139">
        <f>WeightingFactors!$B$13*WeightingFactors!$B$17*('Supplemental Data'!P29)</f>
        <v>36337719.881416075</v>
      </c>
      <c r="D31" s="198"/>
      <c r="E31" s="142">
        <f t="shared" si="0"/>
        <v>70537553.061366051</v>
      </c>
    </row>
    <row r="32" spans="1:5" ht="15.5" x14ac:dyDescent="0.35">
      <c r="A32" s="54" t="s">
        <v>185</v>
      </c>
      <c r="B32" s="139">
        <f>WeightingFactors!$B$12*WeightingFactors!$B$17*('Supplemental Data'!D30+'Supplemental Data'!J30)</f>
        <v>1891923.6773129131</v>
      </c>
      <c r="C32" s="139">
        <f>WeightingFactors!$B$13*WeightingFactors!$B$17*('Supplemental Data'!P30)</f>
        <v>1816513.4344669757</v>
      </c>
      <c r="D32" s="198"/>
      <c r="E32" s="142">
        <f t="shared" si="0"/>
        <v>3708437.1117798891</v>
      </c>
    </row>
    <row r="33" spans="1:5" ht="15.5" x14ac:dyDescent="0.35">
      <c r="A33" s="54" t="s">
        <v>186</v>
      </c>
      <c r="B33" s="139">
        <f>WeightingFactors!$B$12*WeightingFactors!$B$17*('Supplemental Data'!D31+'Supplemental Data'!J31)</f>
        <v>2184706.0254301396</v>
      </c>
      <c r="C33" s="139">
        <f>WeightingFactors!$B$13*WeightingFactors!$B$17*('Supplemental Data'!P31)</f>
        <v>2537371.1442954927</v>
      </c>
      <c r="D33" s="198"/>
      <c r="E33" s="142">
        <f t="shared" si="0"/>
        <v>4722077.1697256323</v>
      </c>
    </row>
    <row r="34" spans="1:5" ht="15.5" x14ac:dyDescent="0.35">
      <c r="A34" s="54" t="s">
        <v>187</v>
      </c>
      <c r="B34" s="139">
        <f>WeightingFactors!$B$12*WeightingFactors!$B$17*('Supplemental Data'!D32+'Supplemental Data'!J32)</f>
        <v>8205426.0014402028</v>
      </c>
      <c r="C34" s="139">
        <f>WeightingFactors!$B$13*WeightingFactors!$B$17*('Supplemental Data'!P32)</f>
        <v>4451683.9962108182</v>
      </c>
      <c r="D34" s="198"/>
      <c r="E34" s="142">
        <f t="shared" si="0"/>
        <v>12657109.997651022</v>
      </c>
    </row>
    <row r="35" spans="1:5" ht="15.5" x14ac:dyDescent="0.35">
      <c r="A35" s="54" t="s">
        <v>188</v>
      </c>
      <c r="B35" s="139">
        <f>WeightingFactors!$B$12*WeightingFactors!$B$17*('Supplemental Data'!D33+'Supplemental Data'!J33)</f>
        <v>9078567.6695462875</v>
      </c>
      <c r="C35" s="139">
        <f>WeightingFactors!$B$13*WeightingFactors!$B$17*('Supplemental Data'!P33)</f>
        <v>6507908.203717879</v>
      </c>
      <c r="D35" s="198"/>
      <c r="E35" s="142">
        <f t="shared" si="0"/>
        <v>15586475.873264167</v>
      </c>
    </row>
    <row r="36" spans="1:5" ht="15.5" x14ac:dyDescent="0.35">
      <c r="A36" s="54" t="s">
        <v>189</v>
      </c>
      <c r="B36" s="139">
        <f>WeightingFactors!$B$12*WeightingFactors!$B$17*('Supplemental Data'!D34+'Supplemental Data'!J34)</f>
        <v>3148122.6208196902</v>
      </c>
      <c r="C36" s="139">
        <f>WeightingFactors!$B$13*WeightingFactors!$B$17*('Supplemental Data'!P34)</f>
        <v>2115595.757207016</v>
      </c>
      <c r="D36" s="198"/>
      <c r="E36" s="142">
        <f t="shared" si="0"/>
        <v>5263718.3780267062</v>
      </c>
    </row>
    <row r="37" spans="1:5" ht="15.5" x14ac:dyDescent="0.35">
      <c r="A37" s="54" t="s">
        <v>190</v>
      </c>
      <c r="B37" s="139">
        <f>WeightingFactors!$B$12*WeightingFactors!$B$17*('Supplemental Data'!D35+'Supplemental Data'!J35)</f>
        <v>20524965.474211827</v>
      </c>
      <c r="C37" s="139">
        <f>WeightingFactors!$B$13*WeightingFactors!$B$17*('Supplemental Data'!P35)</f>
        <v>12756536.396731649</v>
      </c>
      <c r="D37" s="198"/>
      <c r="E37" s="142">
        <f t="shared" si="0"/>
        <v>33281501.870943476</v>
      </c>
    </row>
    <row r="38" spans="1:5" ht="15.5" x14ac:dyDescent="0.35">
      <c r="A38" s="54" t="s">
        <v>191</v>
      </c>
      <c r="B38" s="139">
        <f>WeightingFactors!$B$12*WeightingFactors!$B$17*('Supplemental Data'!D36+'Supplemental Data'!J36)</f>
        <v>11351205.601602815</v>
      </c>
      <c r="C38" s="139">
        <f>WeightingFactors!$B$13*WeightingFactors!$B$17*('Supplemental Data'!P36)</f>
        <v>8556151.4503127206</v>
      </c>
      <c r="D38" s="198"/>
      <c r="E38" s="142">
        <f t="shared" si="0"/>
        <v>19907357.051915534</v>
      </c>
    </row>
    <row r="39" spans="1:5" ht="15.5" x14ac:dyDescent="0.35">
      <c r="A39" s="54" t="s">
        <v>192</v>
      </c>
      <c r="B39" s="139">
        <f>WeightingFactors!$B$12*WeightingFactors!$B$17*('Supplemental Data'!D37+'Supplemental Data'!J37)</f>
        <v>2791668.7503739707</v>
      </c>
      <c r="C39" s="139">
        <f>WeightingFactors!$B$13*WeightingFactors!$B$17*('Supplemental Data'!P37)</f>
        <v>2107447.3844639901</v>
      </c>
      <c r="D39" s="198"/>
      <c r="E39" s="142">
        <f t="shared" si="0"/>
        <v>4899116.1348379608</v>
      </c>
    </row>
    <row r="40" spans="1:5" ht="15.5" x14ac:dyDescent="0.35">
      <c r="A40" s="54" t="s">
        <v>193</v>
      </c>
      <c r="B40" s="139">
        <f>WeightingFactors!$B$12*WeightingFactors!$B$17*('Supplemental Data'!D38+'Supplemental Data'!J38)</f>
        <v>21636302.228267051</v>
      </c>
      <c r="C40" s="139">
        <f>WeightingFactors!$B$13*WeightingFactors!$B$17*('Supplemental Data'!P38)</f>
        <v>13052123.215805527</v>
      </c>
      <c r="D40" s="198"/>
      <c r="E40" s="142">
        <f t="shared" si="0"/>
        <v>34688425.444072574</v>
      </c>
    </row>
    <row r="41" spans="1:5" ht="15.5" x14ac:dyDescent="0.35">
      <c r="A41" s="54" t="s">
        <v>194</v>
      </c>
      <c r="B41" s="139">
        <f>WeightingFactors!$B$12*WeightingFactors!$B$17*('Supplemental Data'!D39+'Supplemental Data'!J39)</f>
        <v>2772242.274682004</v>
      </c>
      <c r="C41" s="139">
        <f>WeightingFactors!$B$13*WeightingFactors!$B$17*('Supplemental Data'!P39)</f>
        <v>2108084.133925098</v>
      </c>
      <c r="D41" s="198"/>
      <c r="E41" s="142">
        <f t="shared" si="0"/>
        <v>4880326.408607102</v>
      </c>
    </row>
    <row r="42" spans="1:5" ht="15.5" x14ac:dyDescent="0.35">
      <c r="A42" s="54" t="s">
        <v>195</v>
      </c>
      <c r="B42" s="139">
        <f>WeightingFactors!$B$12*WeightingFactors!$B$17*('Supplemental Data'!D40+'Supplemental Data'!J40)</f>
        <v>402853.33961443504</v>
      </c>
      <c r="C42" s="139">
        <f>WeightingFactors!$B$13*WeightingFactors!$B$17*('Supplemental Data'!P40)</f>
        <v>4446769.4436387978</v>
      </c>
      <c r="D42" s="198"/>
      <c r="E42" s="142">
        <f t="shared" si="0"/>
        <v>4849622.7832532329</v>
      </c>
    </row>
    <row r="43" spans="1:5" ht="15.5" x14ac:dyDescent="0.35">
      <c r="A43" s="54" t="s">
        <v>196</v>
      </c>
      <c r="B43" s="139">
        <f>WeightingFactors!$B$12*WeightingFactors!$B$17*('Supplemental Data'!D41+'Supplemental Data'!J41)</f>
        <v>8409276.1224864181</v>
      </c>
      <c r="C43" s="139">
        <f>WeightingFactors!$B$13*WeightingFactors!$B$17*('Supplemental Data'!P41)</f>
        <v>7011627.0416273121</v>
      </c>
      <c r="D43" s="198"/>
      <c r="E43" s="142">
        <f t="shared" si="0"/>
        <v>15420903.16411373</v>
      </c>
    </row>
    <row r="44" spans="1:5" ht="15.5" x14ac:dyDescent="0.35">
      <c r="A44" s="54" t="s">
        <v>197</v>
      </c>
      <c r="B44" s="139">
        <f>WeightingFactors!$B$12*WeightingFactors!$B$17*('Supplemental Data'!D42+'Supplemental Data'!J42)</f>
        <v>16535534.942165459</v>
      </c>
      <c r="C44" s="139">
        <f>WeightingFactors!$B$13*WeightingFactors!$B$17*('Supplemental Data'!P42)</f>
        <v>10938520.961217331</v>
      </c>
      <c r="D44" s="198"/>
      <c r="E44" s="142">
        <f t="shared" si="0"/>
        <v>27474055.903382789</v>
      </c>
    </row>
    <row r="45" spans="1:5" ht="15.5" x14ac:dyDescent="0.35">
      <c r="A45" s="54" t="s">
        <v>198</v>
      </c>
      <c r="B45" s="139">
        <f>WeightingFactors!$B$12*WeightingFactors!$B$17*('Supplemental Data'!D43+'Supplemental Data'!J43)</f>
        <v>12984956.395071035</v>
      </c>
      <c r="C45" s="139">
        <f>WeightingFactors!$B$13*WeightingFactors!$B$17*('Supplemental Data'!P43)</f>
        <v>12149207.478537312</v>
      </c>
      <c r="D45" s="198"/>
      <c r="E45" s="142">
        <f t="shared" si="0"/>
        <v>25134163.873608347</v>
      </c>
    </row>
    <row r="46" spans="1:5" ht="15.5" x14ac:dyDescent="0.35">
      <c r="A46" s="54" t="s">
        <v>199</v>
      </c>
      <c r="B46" s="139">
        <f>WeightingFactors!$B$12*WeightingFactors!$B$17*('Supplemental Data'!D44+'Supplemental Data'!J44)</f>
        <v>12140203.998016994</v>
      </c>
      <c r="C46" s="139">
        <f>WeightingFactors!$B$13*WeightingFactors!$B$17*('Supplemental Data'!P44)</f>
        <v>9157631.5203993488</v>
      </c>
      <c r="D46" s="198"/>
      <c r="E46" s="142">
        <f t="shared" si="0"/>
        <v>21297835.518416345</v>
      </c>
    </row>
    <row r="47" spans="1:5" ht="15.5" x14ac:dyDescent="0.35">
      <c r="A47" s="54" t="s">
        <v>200</v>
      </c>
      <c r="B47" s="139">
        <f>WeightingFactors!$B$12*WeightingFactors!$B$17*('Supplemental Data'!D45+'Supplemental Data'!J45)</f>
        <v>3507581.0356549569</v>
      </c>
      <c r="C47" s="139">
        <f>WeightingFactors!$B$13*WeightingFactors!$B$17*('Supplemental Data'!P45)</f>
        <v>2590184.1692270935</v>
      </c>
      <c r="D47" s="198"/>
      <c r="E47" s="142">
        <f t="shared" si="0"/>
        <v>6097765.2048820499</v>
      </c>
    </row>
    <row r="48" spans="1:5" ht="15.5" x14ac:dyDescent="0.35">
      <c r="A48" s="54" t="s">
        <v>201</v>
      </c>
      <c r="B48" s="139">
        <f>WeightingFactors!$B$12*WeightingFactors!$B$17*('Supplemental Data'!D46+'Supplemental Data'!J46)</f>
        <v>8127242.0317139421</v>
      </c>
      <c r="C48" s="139">
        <f>WeightingFactors!$B$13*WeightingFactors!$B$17*('Supplemental Data'!P46)</f>
        <v>5796039.7833687514</v>
      </c>
      <c r="D48" s="198"/>
      <c r="E48" s="142">
        <f t="shared" si="0"/>
        <v>13923281.815082693</v>
      </c>
    </row>
    <row r="49" spans="1:5" ht="15.5" x14ac:dyDescent="0.35">
      <c r="A49" s="54" t="s">
        <v>202</v>
      </c>
      <c r="B49" s="139">
        <f>WeightingFactors!$B$12*WeightingFactors!$B$17*('Supplemental Data'!D47+'Supplemental Data'!J47)</f>
        <v>23795841.139925592</v>
      </c>
      <c r="C49" s="139">
        <f>WeightingFactors!$B$13*WeightingFactors!$B$17*('Supplemental Data'!P47)</f>
        <v>14705769.720170844</v>
      </c>
      <c r="D49" s="198"/>
      <c r="E49" s="142">
        <f t="shared" si="0"/>
        <v>38501610.86009644</v>
      </c>
    </row>
    <row r="50" spans="1:5" ht="15.5" x14ac:dyDescent="0.35">
      <c r="A50" s="54" t="s">
        <v>203</v>
      </c>
      <c r="B50" s="139">
        <f>WeightingFactors!$B$12*WeightingFactors!$B$17*('Supplemental Data'!D48+'Supplemental Data'!J48)</f>
        <v>11445866.11910573</v>
      </c>
      <c r="C50" s="139">
        <f>WeightingFactors!$B$13*WeightingFactors!$B$17*('Supplemental Data'!P48)</f>
        <v>13695093.601617491</v>
      </c>
      <c r="D50" s="198"/>
      <c r="E50" s="142">
        <f t="shared" si="0"/>
        <v>25140959.720723219</v>
      </c>
    </row>
    <row r="51" spans="1:5" ht="15.5" x14ac:dyDescent="0.35">
      <c r="A51" s="54" t="s">
        <v>204</v>
      </c>
      <c r="B51" s="139">
        <f>WeightingFactors!$B$12*WeightingFactors!$B$17*('Supplemental Data'!D49+'Supplemental Data'!J49)</f>
        <v>24429958.319015533</v>
      </c>
      <c r="C51" s="139">
        <f>WeightingFactors!$B$13*WeightingFactors!$B$17*('Supplemental Data'!P49)</f>
        <v>22335478.325561833</v>
      </c>
      <c r="D51" s="198"/>
      <c r="E51" s="142">
        <f t="shared" si="0"/>
        <v>46765436.644577369</v>
      </c>
    </row>
    <row r="52" spans="1:5" ht="15.5" x14ac:dyDescent="0.35">
      <c r="A52" s="54" t="s">
        <v>205</v>
      </c>
      <c r="B52" s="139">
        <f>WeightingFactors!$B$12*WeightingFactors!$B$17*('Supplemental Data'!D50+'Supplemental Data'!J50)</f>
        <v>7156667.4580504112</v>
      </c>
      <c r="C52" s="139">
        <f>WeightingFactors!$B$13*WeightingFactors!$B$17*('Supplemental Data'!P50)</f>
        <v>13398609.074479561</v>
      </c>
      <c r="D52" s="198"/>
      <c r="E52" s="142">
        <f t="shared" si="0"/>
        <v>20555276.532529972</v>
      </c>
    </row>
    <row r="53" spans="1:5" ht="15.5" x14ac:dyDescent="0.35">
      <c r="A53" s="54" t="s">
        <v>206</v>
      </c>
      <c r="B53" s="139">
        <f>WeightingFactors!$B$12*WeightingFactors!$B$17*('Supplemental Data'!D51+'Supplemental Data'!J51)</f>
        <v>10978003.954354124</v>
      </c>
      <c r="C53" s="139">
        <f>WeightingFactors!$B$13*WeightingFactors!$B$17*('Supplemental Data'!P51)</f>
        <v>10363820.805471636</v>
      </c>
      <c r="D53" s="198"/>
      <c r="E53" s="142">
        <f t="shared" si="0"/>
        <v>21341824.759825759</v>
      </c>
    </row>
    <row r="54" spans="1:5" ht="15.5" x14ac:dyDescent="0.35">
      <c r="A54" s="54" t="s">
        <v>207</v>
      </c>
      <c r="B54" s="139">
        <f>WeightingFactors!$B$12*WeightingFactors!$B$17*('Supplemental Data'!D52+'Supplemental Data'!J52)</f>
        <v>8107263.1439428851</v>
      </c>
      <c r="C54" s="139">
        <f>WeightingFactors!$B$13*WeightingFactors!$B$17*('Supplemental Data'!P52)</f>
        <v>7077669.4373728968</v>
      </c>
      <c r="D54" s="198"/>
      <c r="E54" s="142">
        <f t="shared" si="0"/>
        <v>15184932.581315782</v>
      </c>
    </row>
    <row r="55" spans="1:5" ht="15.5" x14ac:dyDescent="0.35">
      <c r="A55" s="54" t="s">
        <v>208</v>
      </c>
      <c r="B55" s="139">
        <f>WeightingFactors!$B$12*WeightingFactors!$B$17*('Supplemental Data'!D53+'Supplemental Data'!J53)</f>
        <v>4223972.4650735212</v>
      </c>
      <c r="C55" s="139">
        <f>WeightingFactors!$B$13*WeightingFactors!$B$17*('Supplemental Data'!P53)</f>
        <v>3279974.2180120465</v>
      </c>
      <c r="D55" s="198"/>
      <c r="E55" s="142">
        <f t="shared" si="0"/>
        <v>7503946.6830855682</v>
      </c>
    </row>
    <row r="56" spans="1:5" ht="15.5" x14ac:dyDescent="0.35">
      <c r="A56" s="54" t="s">
        <v>209</v>
      </c>
      <c r="B56" s="139">
        <f>WeightingFactors!$B$12*WeightingFactors!$B$17*('Supplemental Data'!D54+'Supplemental Data'!J54)</f>
        <v>7115169.172325775</v>
      </c>
      <c r="C56" s="139">
        <f>WeightingFactors!$B$13*WeightingFactors!$B$17*('Supplemental Data'!P54)</f>
        <v>7387576.2171597006</v>
      </c>
      <c r="D56" s="198"/>
      <c r="E56" s="142">
        <f t="shared" si="0"/>
        <v>14502745.389485475</v>
      </c>
    </row>
    <row r="57" spans="1:5" ht="15.5" x14ac:dyDescent="0.35">
      <c r="A57" s="54" t="s">
        <v>210</v>
      </c>
      <c r="B57" s="139">
        <f>WeightingFactors!$B$12*WeightingFactors!$B$17*('Supplemental Data'!D55+'Supplemental Data'!J55)</f>
        <v>7145675.6943557803</v>
      </c>
      <c r="C57" s="139">
        <f>WeightingFactors!$B$13*WeightingFactors!$B$17*('Supplemental Data'!P55)</f>
        <v>5870793.8557246132</v>
      </c>
      <c r="D57" s="198"/>
      <c r="E57" s="142">
        <f t="shared" si="0"/>
        <v>13016469.550080393</v>
      </c>
    </row>
    <row r="58" spans="1:5" ht="15.5" x14ac:dyDescent="0.35">
      <c r="A58" s="54" t="s">
        <v>211</v>
      </c>
      <c r="B58" s="139">
        <f>WeightingFactors!$B$12*WeightingFactors!$B$17*('Supplemental Data'!D56+'Supplemental Data'!J56)</f>
        <v>8784915.0324255228</v>
      </c>
      <c r="C58" s="139">
        <f>WeightingFactors!$B$13*WeightingFactors!$B$17*('Supplemental Data'!P56)</f>
        <v>6289103.8859739807</v>
      </c>
      <c r="D58" s="198"/>
      <c r="E58" s="142">
        <f t="shared" si="0"/>
        <v>15074018.918399503</v>
      </c>
    </row>
    <row r="59" spans="1:5" ht="15.5" x14ac:dyDescent="0.35">
      <c r="A59" s="54" t="s">
        <v>212</v>
      </c>
      <c r="B59" s="139">
        <f>WeightingFactors!$B$12*WeightingFactors!$B$17*('Supplemental Data'!D57+'Supplemental Data'!J57)</f>
        <v>14668133.933271293</v>
      </c>
      <c r="C59" s="139">
        <f>WeightingFactors!$B$13*WeightingFactors!$B$17*('Supplemental Data'!P57)</f>
        <v>9732570.5147345643</v>
      </c>
      <c r="D59" s="198"/>
      <c r="E59" s="142">
        <f t="shared" si="0"/>
        <v>24400704.448005855</v>
      </c>
    </row>
    <row r="60" spans="1:5" ht="15.5" x14ac:dyDescent="0.35">
      <c r="A60" s="54" t="s">
        <v>213</v>
      </c>
      <c r="B60" s="139">
        <f>WeightingFactors!$B$12*WeightingFactors!$B$17*('Supplemental Data'!D58+'Supplemental Data'!J58)</f>
        <v>9454951.1452774405</v>
      </c>
      <c r="C60" s="139">
        <f>WeightingFactors!$B$13*WeightingFactors!$B$17*('Supplemental Data'!P58)</f>
        <v>7771848.7491330411</v>
      </c>
      <c r="D60" s="198"/>
      <c r="E60" s="142">
        <f t="shared" si="0"/>
        <v>17226799.894410484</v>
      </c>
    </row>
    <row r="61" spans="1:5" ht="15.5" x14ac:dyDescent="0.35">
      <c r="A61" s="54" t="s">
        <v>214</v>
      </c>
      <c r="B61" s="139">
        <f>WeightingFactors!$B$12*WeightingFactors!$B$17*('Supplemental Data'!D59+'Supplemental Data'!J59)</f>
        <v>6007515.1425862368</v>
      </c>
      <c r="C61" s="139">
        <f>WeightingFactors!$B$13*WeightingFactors!$B$17*('Supplemental Data'!P59)</f>
        <v>4777086.5271257386</v>
      </c>
      <c r="D61" s="198"/>
      <c r="E61" s="142">
        <f t="shared" si="0"/>
        <v>10784601.669711975</v>
      </c>
    </row>
    <row r="62" spans="1:5" ht="15.5" x14ac:dyDescent="0.35">
      <c r="A62" s="54" t="s">
        <v>215</v>
      </c>
      <c r="B62" s="139">
        <f>WeightingFactors!$B$12*WeightingFactors!$B$17*('Supplemental Data'!D60+'Supplemental Data'!J60)</f>
        <v>10256672.788524935</v>
      </c>
      <c r="C62" s="139">
        <f>WeightingFactors!$B$13*WeightingFactors!$B$17*('Supplemental Data'!P60)</f>
        <v>7198645.5773769142</v>
      </c>
      <c r="D62" s="198"/>
      <c r="E62" s="142">
        <f t="shared" si="0"/>
        <v>17455318.36590185</v>
      </c>
    </row>
    <row r="63" spans="1:5" ht="15.5" x14ac:dyDescent="0.35">
      <c r="A63" s="54" t="s">
        <v>216</v>
      </c>
      <c r="B63" s="139">
        <f>WeightingFactors!$B$12*WeightingFactors!$B$17*('Supplemental Data'!D61+'Supplemental Data'!J61)</f>
        <v>1202095.3469005495</v>
      </c>
      <c r="C63" s="139">
        <f>WeightingFactors!$B$13*WeightingFactors!$B$17*('Supplemental Data'!P61)</f>
        <v>984888.39312844153</v>
      </c>
      <c r="D63" s="198"/>
      <c r="E63" s="142">
        <f t="shared" si="0"/>
        <v>2186983.7400289909</v>
      </c>
    </row>
    <row r="64" spans="1:5" ht="15.5" x14ac:dyDescent="0.35">
      <c r="A64" s="54" t="s">
        <v>217</v>
      </c>
      <c r="B64" s="139">
        <f>WeightingFactors!$B$12*WeightingFactors!$B$17*('Supplemental Data'!D62+'Supplemental Data'!J62)</f>
        <v>3316196.0283766571</v>
      </c>
      <c r="C64" s="139">
        <f>WeightingFactors!$B$13*WeightingFactors!$B$17*('Supplemental Data'!P62)</f>
        <v>4268246.0996530587</v>
      </c>
      <c r="D64" s="198"/>
      <c r="E64" s="142">
        <f t="shared" si="0"/>
        <v>7584442.1280297153</v>
      </c>
    </row>
    <row r="65" spans="1:5" ht="15.5" x14ac:dyDescent="0.35">
      <c r="A65" s="54" t="s">
        <v>218</v>
      </c>
      <c r="B65" s="139">
        <f>WeightingFactors!$B$12*WeightingFactors!$B$17*('Supplemental Data'!D63+'Supplemental Data'!J63)</f>
        <v>6944247.6405916</v>
      </c>
      <c r="C65" s="139">
        <f>WeightingFactors!$B$13*WeightingFactors!$B$17*('Supplemental Data'!P63)</f>
        <v>6244888.2394768018</v>
      </c>
      <c r="D65" s="198"/>
      <c r="E65" s="142">
        <f t="shared" si="0"/>
        <v>13189135.880068403</v>
      </c>
    </row>
    <row r="66" spans="1:5" ht="15.5" x14ac:dyDescent="0.35">
      <c r="A66" s="54" t="s">
        <v>219</v>
      </c>
      <c r="B66" s="139">
        <f>WeightingFactors!$B$12*WeightingFactors!$B$17*('Supplemental Data'!D64+'Supplemental Data'!J64)</f>
        <v>12521317.414225182</v>
      </c>
      <c r="C66" s="139">
        <f>WeightingFactors!$B$13*WeightingFactors!$B$17*('Supplemental Data'!P64)</f>
        <v>10180502.386148322</v>
      </c>
      <c r="D66" s="198"/>
      <c r="E66" s="142">
        <f t="shared" si="0"/>
        <v>22701819.800373502</v>
      </c>
    </row>
    <row r="67" spans="1:5" ht="15.5" x14ac:dyDescent="0.35">
      <c r="A67" s="54" t="s">
        <v>220</v>
      </c>
      <c r="B67" s="139">
        <f>WeightingFactors!$B$12*WeightingFactors!$B$17*('Supplemental Data'!D65+'Supplemental Data'!J65)</f>
        <v>11608821.254819907</v>
      </c>
      <c r="C67" s="139">
        <f>WeightingFactors!$B$13*WeightingFactors!$B$17*('Supplemental Data'!P65)</f>
        <v>9552234.799418252</v>
      </c>
      <c r="D67" s="198"/>
      <c r="E67" s="142">
        <f t="shared" si="0"/>
        <v>21161056.054238159</v>
      </c>
    </row>
    <row r="68" spans="1:5" ht="15.5" x14ac:dyDescent="0.35">
      <c r="A68" s="54" t="s">
        <v>221</v>
      </c>
      <c r="B68" s="139">
        <f>WeightingFactors!$B$12*WeightingFactors!$B$17*('Supplemental Data'!D66+'Supplemental Data'!J66)</f>
        <v>26827093.148409501</v>
      </c>
      <c r="C68" s="139">
        <f>WeightingFactors!$B$13*WeightingFactors!$B$17*('Supplemental Data'!P66)</f>
        <v>17353840.978946354</v>
      </c>
      <c r="D68" s="198"/>
      <c r="E68" s="142">
        <f t="shared" si="0"/>
        <v>44180934.127355859</v>
      </c>
    </row>
    <row r="69" spans="1:5" ht="15.5" x14ac:dyDescent="0.35">
      <c r="A69" s="54" t="s">
        <v>222</v>
      </c>
      <c r="B69" s="139">
        <f>WeightingFactors!$B$12*WeightingFactors!$B$17*('Supplemental Data'!D67+'Supplemental Data'!J67)</f>
        <v>16773827.397355221</v>
      </c>
      <c r="C69" s="139">
        <f>WeightingFactors!$B$13*WeightingFactors!$B$17*('Supplemental Data'!P67)</f>
        <v>11326226.622273283</v>
      </c>
      <c r="D69" s="198"/>
      <c r="E69" s="142">
        <f t="shared" ref="E69:E75" si="1">SUM(B69:C69)</f>
        <v>28100054.019628502</v>
      </c>
    </row>
    <row r="70" spans="1:5" ht="15.5" x14ac:dyDescent="0.35">
      <c r="A70" s="54" t="s">
        <v>223</v>
      </c>
      <c r="B70" s="139">
        <f>WeightingFactors!$B$12*WeightingFactors!$B$17*('Supplemental Data'!D68+'Supplemental Data'!J68)</f>
        <v>11906376.918631662</v>
      </c>
      <c r="C70" s="139">
        <f>WeightingFactors!$B$13*WeightingFactors!$B$17*('Supplemental Data'!P68)</f>
        <v>6985964.1564940261</v>
      </c>
      <c r="D70" s="198"/>
      <c r="E70" s="142">
        <f t="shared" si="1"/>
        <v>18892341.075125687</v>
      </c>
    </row>
    <row r="71" spans="1:5" ht="15.5" x14ac:dyDescent="0.35">
      <c r="A71" s="54" t="s">
        <v>224</v>
      </c>
      <c r="B71" s="139">
        <f>WeightingFactors!$B$12*WeightingFactors!$B$17*('Supplemental Data'!D69+'Supplemental Data'!J69)</f>
        <v>5544421.0999436891</v>
      </c>
      <c r="C71" s="139">
        <f>WeightingFactors!$B$13*WeightingFactors!$B$17*('Supplemental Data'!P69)</f>
        <v>3784296.9947680528</v>
      </c>
      <c r="D71" s="198"/>
      <c r="E71" s="142">
        <f t="shared" si="1"/>
        <v>9328718.0947117414</v>
      </c>
    </row>
    <row r="72" spans="1:5" ht="15.5" x14ac:dyDescent="0.35">
      <c r="A72" s="54" t="s">
        <v>225</v>
      </c>
      <c r="B72" s="139">
        <f>WeightingFactors!$B$12*WeightingFactors!$B$17*('Supplemental Data'!D70+'Supplemental Data'!J70)</f>
        <v>2378939.4351694426</v>
      </c>
      <c r="C72" s="139">
        <f>WeightingFactors!$B$13*WeightingFactors!$B$17*('Supplemental Data'!P70)</f>
        <v>1861551.5531560376</v>
      </c>
      <c r="D72" s="198"/>
      <c r="E72" s="142">
        <f t="shared" si="1"/>
        <v>4240490.9883254804</v>
      </c>
    </row>
    <row r="73" spans="1:5" ht="15.5" x14ac:dyDescent="0.35">
      <c r="A73" s="54" t="s">
        <v>226</v>
      </c>
      <c r="B73" s="139">
        <f>WeightingFactors!$B$12*WeightingFactors!$B$17*('Supplemental Data'!D71+'Supplemental Data'!J71)</f>
        <v>4578788.5368012972</v>
      </c>
      <c r="C73" s="139">
        <f>WeightingFactors!$B$13*WeightingFactors!$B$17*('Supplemental Data'!P71)</f>
        <v>4427987.3466181997</v>
      </c>
      <c r="D73" s="198"/>
      <c r="E73" s="142">
        <f t="shared" si="1"/>
        <v>9006775.8834194969</v>
      </c>
    </row>
    <row r="74" spans="1:5" ht="15.5" x14ac:dyDescent="0.35">
      <c r="A74" s="54" t="s">
        <v>227</v>
      </c>
      <c r="B74" s="139">
        <f>WeightingFactors!$B$12*WeightingFactors!$B$17*('Supplemental Data'!D72+'Supplemental Data'!J72)</f>
        <v>15220202.250109756</v>
      </c>
      <c r="C74" s="139">
        <f>WeightingFactors!$B$13*WeightingFactors!$B$17*('Supplemental Data'!P72)</f>
        <v>10755158.429333791</v>
      </c>
      <c r="D74" s="198"/>
      <c r="E74" s="142">
        <f t="shared" si="1"/>
        <v>25975360.679443546</v>
      </c>
    </row>
    <row r="75" spans="1:5" ht="15.5" x14ac:dyDescent="0.35">
      <c r="A75" s="54" t="s">
        <v>228</v>
      </c>
      <c r="B75" s="139">
        <f>WeightingFactors!$B$12*WeightingFactors!$B$17*('Supplemental Data'!D73+'Supplemental Data'!J73)</f>
        <v>7261281.3533248259</v>
      </c>
      <c r="C75" s="139">
        <f>WeightingFactors!$B$13*WeightingFactors!$B$17*('Supplemental Data'!P73)</f>
        <v>4534909.3054502383</v>
      </c>
      <c r="D75" s="198"/>
      <c r="E75" s="142">
        <f t="shared" si="1"/>
        <v>11796190.658775065</v>
      </c>
    </row>
    <row r="76" spans="1:5" s="1" customFormat="1" x14ac:dyDescent="0.35">
      <c r="A76" s="33" t="s">
        <v>154</v>
      </c>
      <c r="B76" s="155">
        <f>SUM(B4:B75)</f>
        <v>801395768.51740944</v>
      </c>
      <c r="C76" s="155">
        <f>SUM(C4:C75)</f>
        <v>612211652.04561043</v>
      </c>
      <c r="D76" s="155"/>
      <c r="E76" s="155">
        <f>SUM(E4:E75)</f>
        <v>1413607420.5630205</v>
      </c>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76"/>
  <sheetViews>
    <sheetView workbookViewId="0">
      <pane ySplit="3" topLeftCell="A4" activePane="bottomLeft" state="frozen"/>
      <selection pane="bottomLeft" activeCell="B4" sqref="B4"/>
    </sheetView>
  </sheetViews>
  <sheetFormatPr defaultRowHeight="14.5" x14ac:dyDescent="0.35"/>
  <cols>
    <col min="1" max="1" width="34.453125" style="3" customWidth="1"/>
    <col min="2" max="2" width="18.453125" customWidth="1"/>
    <col min="3" max="4" width="16.36328125" bestFit="1" customWidth="1"/>
    <col min="5" max="5" width="15.36328125" bestFit="1" customWidth="1"/>
    <col min="6" max="6" width="16.36328125" bestFit="1" customWidth="1"/>
    <col min="7" max="8" width="15.36328125" bestFit="1" customWidth="1"/>
    <col min="9" max="9" width="5" style="3" customWidth="1"/>
    <col min="10" max="10" width="13.6328125" bestFit="1" customWidth="1"/>
    <col min="11" max="11" width="12.453125" customWidth="1"/>
    <col min="12" max="12" width="14.6328125" bestFit="1" customWidth="1"/>
    <col min="13" max="14" width="12.54296875" bestFit="1" customWidth="1"/>
    <col min="15" max="15" width="16.08984375" bestFit="1" customWidth="1"/>
    <col min="16" max="16" width="12.54296875" bestFit="1" customWidth="1"/>
    <col min="17" max="17" width="7.54296875" customWidth="1"/>
    <col min="18" max="18" width="15.453125" customWidth="1"/>
  </cols>
  <sheetData>
    <row r="1" spans="1:18" s="195" customFormat="1" ht="36" customHeight="1" x14ac:dyDescent="0.35">
      <c r="A1" s="212"/>
      <c r="B1" s="264" t="s">
        <v>362</v>
      </c>
      <c r="C1" s="264"/>
      <c r="D1" s="264"/>
      <c r="E1" s="264"/>
      <c r="F1" s="264"/>
      <c r="G1" s="264"/>
      <c r="H1" s="264"/>
      <c r="I1" s="213"/>
      <c r="J1" s="264" t="s">
        <v>364</v>
      </c>
      <c r="K1" s="264"/>
      <c r="L1" s="264"/>
      <c r="M1" s="264"/>
      <c r="N1" s="264"/>
      <c r="O1" s="264"/>
      <c r="P1" s="264"/>
      <c r="Q1" s="216"/>
      <c r="R1" s="212"/>
    </row>
    <row r="2" spans="1:18" s="148" customFormat="1" ht="26.25" customHeight="1" x14ac:dyDescent="0.35">
      <c r="A2" s="236" t="s">
        <v>365</v>
      </c>
      <c r="B2" s="157">
        <f>WeightingFactors!$B$22*WeightingFactors!$B$32</f>
        <v>2626.6087614298744</v>
      </c>
      <c r="C2" s="158">
        <f>WeightingFactors!$B$23*WeightingFactors!$B$32</f>
        <v>3502.1450152398324</v>
      </c>
      <c r="D2" s="158">
        <f>WeightingFactors!$B$24*WeightingFactors!$B$32</f>
        <v>1751.0725076199162</v>
      </c>
      <c r="E2" s="158">
        <f>WeightingFactors!$B$25*WeightingFactors!$B$32</f>
        <v>875.53625380995811</v>
      </c>
      <c r="F2" s="158">
        <f>WeightingFactors!$B$26*WeightingFactors!$B$32</f>
        <v>1313.3043807149372</v>
      </c>
      <c r="G2" s="158">
        <f>WeightingFactors!$B$27*WeightingFactors!$B$32</f>
        <v>1751.0725076199162</v>
      </c>
      <c r="H2" s="158">
        <f>WeightingFactors!$B$28*WeightingFactors!$B$32</f>
        <v>875.53625380995811</v>
      </c>
      <c r="I2" s="159"/>
      <c r="J2" s="157">
        <f>WeightingFactors!$B$35*WeightingFactors!$B$45</f>
        <v>1978.9110734486571</v>
      </c>
      <c r="K2" s="158">
        <f>WeightingFactors!$B$36*WeightingFactors!$B$45</f>
        <v>2638.548097931543</v>
      </c>
      <c r="L2" s="158">
        <f>WeightingFactors!$B$37*WeightingFactors!$B$45</f>
        <v>1319.2740489657715</v>
      </c>
      <c r="M2" s="158">
        <f>WeightingFactors!$B$38*WeightingFactors!$B$45</f>
        <v>659.63702448288575</v>
      </c>
      <c r="N2" s="158">
        <f>WeightingFactors!$B$39*WeightingFactors!$B$45</f>
        <v>989.45553672432857</v>
      </c>
      <c r="O2" s="158">
        <f>WeightingFactors!$B$40*WeightingFactors!$B$45</f>
        <v>1319.2740489657715</v>
      </c>
      <c r="P2" s="158">
        <f>WeightingFactors!$B$41*WeightingFactors!$B$45</f>
        <v>659.63702448288575</v>
      </c>
      <c r="Q2" s="158"/>
    </row>
    <row r="3" spans="1:18" s="149" customFormat="1" ht="48.75" customHeight="1" x14ac:dyDescent="0.35">
      <c r="A3" s="147" t="s">
        <v>155</v>
      </c>
      <c r="B3" s="149" t="s">
        <v>336</v>
      </c>
      <c r="C3" s="149" t="s">
        <v>338</v>
      </c>
      <c r="D3" s="149" t="s">
        <v>361</v>
      </c>
      <c r="E3" s="149" t="s">
        <v>341</v>
      </c>
      <c r="F3" s="150" t="s">
        <v>363</v>
      </c>
      <c r="G3" s="149" t="s">
        <v>345</v>
      </c>
      <c r="H3" s="150" t="s">
        <v>347</v>
      </c>
      <c r="I3" s="150"/>
      <c r="J3" s="149" t="s">
        <v>336</v>
      </c>
      <c r="K3" s="149" t="s">
        <v>338</v>
      </c>
      <c r="L3" s="149" t="s">
        <v>361</v>
      </c>
      <c r="M3" s="149" t="s">
        <v>341</v>
      </c>
      <c r="N3" s="149" t="s">
        <v>363</v>
      </c>
      <c r="O3" s="149" t="s">
        <v>345</v>
      </c>
      <c r="P3" s="149" t="s">
        <v>347</v>
      </c>
      <c r="Q3" s="201"/>
      <c r="R3" s="149" t="s">
        <v>367</v>
      </c>
    </row>
    <row r="4" spans="1:18" ht="15.5" x14ac:dyDescent="0.35">
      <c r="A4" s="52" t="s">
        <v>157</v>
      </c>
      <c r="B4" s="139">
        <f>WeightingFactors!$B$22*WeightingFactors!$B$32*'Success Data'!D2</f>
        <v>2933568.9123659763</v>
      </c>
      <c r="C4" s="139">
        <f>WeightingFactors!$B$23*WeightingFactors!$B$32*'Success Data'!J2</f>
        <v>947585.46001768671</v>
      </c>
      <c r="D4" s="139">
        <f>WeightingFactors!$B$24*WeightingFactors!$B$32*'Success Data'!P2</f>
        <v>1488887.8151373214</v>
      </c>
      <c r="E4" s="139">
        <f>WeightingFactors!$B$25*WeightingFactors!$B$32*'Success Data'!V2</f>
        <v>1687955.3737798163</v>
      </c>
      <c r="F4" s="139">
        <f>WeightingFactors!$B$26*WeightingFactors!$B$32*'Success Data'!AB2</f>
        <v>783952.73699707771</v>
      </c>
      <c r="G4" s="139">
        <f>WeightingFactors!$B$27*WeightingFactors!$B$32*'Success Data'!AN2</f>
        <v>376480.589138282</v>
      </c>
      <c r="H4" s="139">
        <f>WeightingFactors!$B$28*WeightingFactors!$B$32*'Success Data'!AH2</f>
        <v>2362616.796741358</v>
      </c>
      <c r="I4" s="151"/>
      <c r="J4" s="139">
        <f>WeightingFactors!$B$35*WeightingFactors!$B$45*'Combo Data'!B3</f>
        <v>1137873.8672329779</v>
      </c>
      <c r="K4" s="139">
        <f>WeightingFactors!$B$36*WeightingFactors!$B$45*'Combo Data'!C3</f>
        <v>374673.8299062791</v>
      </c>
      <c r="L4" s="139">
        <f>WeightingFactors!$B$37*WeightingFactors!$B$45*'Combo Data'!D3</f>
        <v>515836.15314561664</v>
      </c>
      <c r="M4" s="139">
        <f>WeightingFactors!$B$38*WeightingFactors!$B$45*'Combo Data'!E3</f>
        <v>578501.67047149083</v>
      </c>
      <c r="N4" s="139">
        <f>WeightingFactors!$B$39*WeightingFactors!$B$45*'Combo Data'!F3</f>
        <v>293868.29440712556</v>
      </c>
      <c r="O4" s="139">
        <f>WeightingFactors!$B$40*WeightingFactors!$B$45*'Combo Data'!G3</f>
        <v>121373.21250485098</v>
      </c>
      <c r="P4" s="139">
        <f>WeightingFactors!$B$41*WeightingFactors!$B$45*'Combo Data'!H3</f>
        <v>275728.27623384626</v>
      </c>
      <c r="Q4" s="198"/>
      <c r="R4" s="142">
        <f>SUM(B4:P4)</f>
        <v>13878902.988079706</v>
      </c>
    </row>
    <row r="5" spans="1:18" ht="15.5" x14ac:dyDescent="0.35">
      <c r="A5" s="54" t="s">
        <v>158</v>
      </c>
      <c r="B5" s="139">
        <f>WeightingFactors!$B$22*WeightingFactors!$B$32*'Success Data'!D3</f>
        <v>3759150.4630494597</v>
      </c>
      <c r="C5" s="139">
        <f>WeightingFactors!$B$23*WeightingFactors!$B$32*'Success Data'!J3</f>
        <v>1593207.2276633836</v>
      </c>
      <c r="D5" s="139">
        <f>WeightingFactors!$B$24*WeightingFactors!$B$32*'Success Data'!P3</f>
        <v>1840520.8442428245</v>
      </c>
      <c r="E5" s="139">
        <f>WeightingFactors!$B$25*WeightingFactors!$B$32*'Success Data'!V3</f>
        <v>1866967.7129546027</v>
      </c>
      <c r="F5" s="139">
        <f>WeightingFactors!$B$26*WeightingFactors!$B$32*'Success Data'!AB3</f>
        <v>1260149.8353058803</v>
      </c>
      <c r="G5" s="139">
        <f>WeightingFactors!$B$27*WeightingFactors!$B$32*'Success Data'!AN3</f>
        <v>360720.93656970275</v>
      </c>
      <c r="H5" s="139">
        <f>WeightingFactors!$B$28*WeightingFactors!$B$32*'Success Data'!AH3</f>
        <v>954150.87106781686</v>
      </c>
      <c r="I5" s="151"/>
      <c r="J5" s="139">
        <f>WeightingFactors!$B$35*WeightingFactors!$B$45*'Combo Data'!B4</f>
        <v>1719673.722826883</v>
      </c>
      <c r="K5" s="139">
        <f>WeightingFactors!$B$36*WeightingFactors!$B$45*'Combo Data'!C4</f>
        <v>807395.71796705213</v>
      </c>
      <c r="L5" s="139">
        <f>WeightingFactors!$B$37*WeightingFactors!$B$45*'Combo Data'!D4</f>
        <v>820588.45845670986</v>
      </c>
      <c r="M5" s="139">
        <f>WeightingFactors!$B$38*WeightingFactors!$B$45*'Combo Data'!E4</f>
        <v>937344.21179018065</v>
      </c>
      <c r="N5" s="139">
        <f>WeightingFactors!$B$39*WeightingFactors!$B$45*'Combo Data'!F4</f>
        <v>513527.42355992651</v>
      </c>
      <c r="O5" s="139">
        <f>WeightingFactors!$B$40*WeightingFactors!$B$45*'Combo Data'!G4</f>
        <v>160951.43397382411</v>
      </c>
      <c r="P5" s="139">
        <f>WeightingFactors!$B$41*WeightingFactors!$B$45*'Combo Data'!H4</f>
        <v>360821.45239213848</v>
      </c>
      <c r="Q5" s="198"/>
      <c r="R5" s="142">
        <f t="shared" ref="R5:R68" si="0">SUM(B5:P5)</f>
        <v>16955170.311820384</v>
      </c>
    </row>
    <row r="6" spans="1:18" ht="15.5" x14ac:dyDescent="0.35">
      <c r="A6" s="54" t="s">
        <v>159</v>
      </c>
      <c r="B6" s="139">
        <f>WeightingFactors!$B$22*WeightingFactors!$B$32*'Success Data'!D4</f>
        <v>699452.93965252652</v>
      </c>
      <c r="C6" s="139">
        <f>WeightingFactors!$B$23*WeightingFactors!$B$32*'Success Data'!J4</f>
        <v>291720.48293529672</v>
      </c>
      <c r="D6" s="139">
        <f>WeightingFactors!$B$24*WeightingFactors!$B$32*'Success Data'!P4</f>
        <v>36512.063987395217</v>
      </c>
      <c r="E6" s="139">
        <f>WeightingFactors!$B$25*WeightingFactors!$B$32*'Success Data'!V4</f>
        <v>367630.21850041527</v>
      </c>
      <c r="F6" s="139">
        <f>WeightingFactors!$B$26*WeightingFactors!$B$32*'Success Data'!AB4</f>
        <v>269535.68323428551</v>
      </c>
      <c r="G6" s="139">
        <f>WeightingFactors!$B$27*WeightingFactors!$B$32*'Success Data'!AN4</f>
        <v>45527.885198117823</v>
      </c>
      <c r="H6" s="139">
        <f>WeightingFactors!$B$28*WeightingFactors!$B$32*'Success Data'!AH4</f>
        <v>366843.78672485758</v>
      </c>
      <c r="I6" s="151"/>
      <c r="J6" s="139">
        <f>WeightingFactors!$B$35*WeightingFactors!$B$45*'Combo Data'!B5</f>
        <v>419529.14757111529</v>
      </c>
      <c r="K6" s="139">
        <f>WeightingFactors!$B$36*WeightingFactors!$B$45*'Combo Data'!C5</f>
        <v>163589.98207175566</v>
      </c>
      <c r="L6" s="139">
        <f>WeightingFactors!$B$37*WeightingFactors!$B$45*'Combo Data'!D5</f>
        <v>19789.110734486574</v>
      </c>
      <c r="M6" s="139">
        <f>WeightingFactors!$B$38*WeightingFactors!$B$45*'Combo Data'!E5</f>
        <v>205806.75163866035</v>
      </c>
      <c r="N6" s="139">
        <f>WeightingFactors!$B$39*WeightingFactors!$B$45*'Combo Data'!F5</f>
        <v>188986.00751434677</v>
      </c>
      <c r="O6" s="139">
        <f>WeightingFactors!$B$40*WeightingFactors!$B$45*'Combo Data'!G5</f>
        <v>26385.480979315431</v>
      </c>
      <c r="P6" s="139">
        <f>WeightingFactors!$B$41*WeightingFactors!$B$45*'Combo Data'!H5</f>
        <v>95647.368550018437</v>
      </c>
      <c r="Q6" s="198"/>
      <c r="R6" s="142">
        <f t="shared" si="0"/>
        <v>3196956.9092925931</v>
      </c>
    </row>
    <row r="7" spans="1:18" ht="15.5" x14ac:dyDescent="0.35">
      <c r="A7" s="54" t="s">
        <v>160</v>
      </c>
      <c r="B7" s="139">
        <f>WeightingFactors!$B$22*WeightingFactors!$B$32*'Success Data'!D5</f>
        <v>2989284.8388824589</v>
      </c>
      <c r="C7" s="139">
        <f>WeightingFactors!$B$23*WeightingFactors!$B$32*'Success Data'!J5</f>
        <v>1105642.2902143663</v>
      </c>
      <c r="D7" s="139">
        <f>WeightingFactors!$B$24*WeightingFactors!$B$32*'Success Data'!P5</f>
        <v>970031.23635732173</v>
      </c>
      <c r="E7" s="139">
        <f>WeightingFactors!$B$25*WeightingFactors!$B$32*'Success Data'!V5</f>
        <v>1973501.8855366709</v>
      </c>
      <c r="F7" s="139">
        <f>WeightingFactors!$B$26*WeightingFactors!$B$32*'Success Data'!AB5</f>
        <v>1275616.8141300769</v>
      </c>
      <c r="G7" s="139">
        <f>WeightingFactors!$B$27*WeightingFactors!$B$32*'Success Data'!AN5</f>
        <v>457029.92448879813</v>
      </c>
      <c r="H7" s="139">
        <f>WeightingFactors!$B$28*WeightingFactors!$B$32*'Success Data'!AH5</f>
        <v>1203176.2153408956</v>
      </c>
      <c r="I7" s="151"/>
      <c r="J7" s="139">
        <f>WeightingFactors!$B$35*WeightingFactors!$B$45*'Combo Data'!B6</f>
        <v>1541571.7262165039</v>
      </c>
      <c r="K7" s="139">
        <f>WeightingFactors!$B$36*WeightingFactors!$B$45*'Combo Data'!C6</f>
        <v>519793.97529251396</v>
      </c>
      <c r="L7" s="139">
        <f>WeightingFactors!$B$37*WeightingFactors!$B$45*'Combo Data'!D6</f>
        <v>340372.70463316905</v>
      </c>
      <c r="M7" s="139">
        <f>WeightingFactors!$B$38*WeightingFactors!$B$45*'Combo Data'!E6</f>
        <v>843675.75431361084</v>
      </c>
      <c r="N7" s="139">
        <f>WeightingFactors!$B$39*WeightingFactors!$B$45*'Combo Data'!F6</f>
        <v>399740.03683662874</v>
      </c>
      <c r="O7" s="139">
        <f>WeightingFactors!$B$40*WeightingFactors!$B$45*'Combo Data'!G6</f>
        <v>141162.32323933754</v>
      </c>
      <c r="P7" s="139">
        <f>WeightingFactors!$B$41*WeightingFactors!$B$45*'Combo Data'!H6</f>
        <v>396441.85171421431</v>
      </c>
      <c r="Q7" s="198"/>
      <c r="R7" s="142">
        <f t="shared" si="0"/>
        <v>14157041.577196565</v>
      </c>
    </row>
    <row r="8" spans="1:18" ht="15.5" x14ac:dyDescent="0.35">
      <c r="A8" s="54" t="s">
        <v>161</v>
      </c>
      <c r="B8" s="139">
        <f>WeightingFactors!$B$22*WeightingFactors!$B$32*'Success Data'!D6</f>
        <v>2758407.6644942239</v>
      </c>
      <c r="C8" s="139">
        <f>WeightingFactors!$B$23*WeightingFactors!$B$32*'Success Data'!J6</f>
        <v>822248.48088607087</v>
      </c>
      <c r="D8" s="139">
        <f>WeightingFactors!$B$24*WeightingFactors!$B$32*'Success Data'!P6</f>
        <v>294574.27836084372</v>
      </c>
      <c r="E8" s="139">
        <f>WeightingFactors!$B$25*WeightingFactors!$B$32*'Success Data'!V6</f>
        <v>1025173.1033717043</v>
      </c>
      <c r="F8" s="139">
        <f>WeightingFactors!$B$26*WeightingFactors!$B$32*'Success Data'!AB6</f>
        <v>1120733.3306251992</v>
      </c>
      <c r="G8" s="139">
        <f>WeightingFactors!$B$27*WeightingFactors!$B$32*'Success Data'!AN6</f>
        <v>259158.7311277476</v>
      </c>
      <c r="H8" s="139">
        <f>WeightingFactors!$B$28*WeightingFactors!$B$32*'Success Data'!AH6</f>
        <v>1299573.1228014419</v>
      </c>
      <c r="I8" s="151"/>
      <c r="J8" s="139">
        <f>WeightingFactors!$B$35*WeightingFactors!$B$45*'Combo Data'!B7</f>
        <v>1141831.6893798751</v>
      </c>
      <c r="K8" s="139">
        <f>WeightingFactors!$B$36*WeightingFactors!$B$45*'Combo Data'!C7</f>
        <v>284963.19457660662</v>
      </c>
      <c r="L8" s="139">
        <f>WeightingFactors!$B$37*WeightingFactors!$B$45*'Combo Data'!D7</f>
        <v>158312.88587589259</v>
      </c>
      <c r="M8" s="139">
        <f>WeightingFactors!$B$38*WeightingFactors!$B$45*'Combo Data'!E7</f>
        <v>392484.02956731705</v>
      </c>
      <c r="N8" s="139">
        <f>WeightingFactors!$B$39*WeightingFactors!$B$45*'Combo Data'!F7</f>
        <v>365109.09305127722</v>
      </c>
      <c r="O8" s="139">
        <f>WeightingFactors!$B$40*WeightingFactors!$B$45*'Combo Data'!G7</f>
        <v>46174.591713802001</v>
      </c>
      <c r="P8" s="139">
        <f>WeightingFactors!$B$41*WeightingFactors!$B$45*'Combo Data'!H7</f>
        <v>234830.78071590731</v>
      </c>
      <c r="Q8" s="198"/>
      <c r="R8" s="142">
        <f t="shared" si="0"/>
        <v>10203574.976547908</v>
      </c>
    </row>
    <row r="9" spans="1:18" ht="15.5" x14ac:dyDescent="0.35">
      <c r="A9" s="54" t="s">
        <v>162</v>
      </c>
      <c r="B9" s="139">
        <f>WeightingFactors!$B$22*WeightingFactors!$B$32*'Success Data'!D7</f>
        <v>2844712.5382382921</v>
      </c>
      <c r="C9" s="139">
        <f>WeightingFactors!$B$23*WeightingFactors!$B$32*'Success Data'!J7</f>
        <v>2485486.0153173879</v>
      </c>
      <c r="D9" s="139">
        <f>WeightingFactors!$B$24*WeightingFactors!$B$32*'Success Data'!P7</f>
        <v>3398040.4624164128</v>
      </c>
      <c r="E9" s="139">
        <f>WeightingFactors!$B$25*WeightingFactors!$B$32*'Success Data'!V7</f>
        <v>3358446.1291035558</v>
      </c>
      <c r="F9" s="139">
        <f>WeightingFactors!$B$26*WeightingFactors!$B$32*'Success Data'!AB7</f>
        <v>1835009.8405867061</v>
      </c>
      <c r="G9" s="139">
        <f>WeightingFactors!$B$27*WeightingFactors!$B$32*'Success Data'!AN7</f>
        <v>273167.31118870695</v>
      </c>
      <c r="H9" s="139">
        <f>WeightingFactors!$B$28*WeightingFactors!$B$32*'Success Data'!AH7</f>
        <v>2364401.9246572936</v>
      </c>
      <c r="I9" s="151"/>
      <c r="J9" s="139">
        <f>WeightingFactors!$B$35*WeightingFactors!$B$45*'Combo Data'!B8</f>
        <v>1470330.9275723523</v>
      </c>
      <c r="K9" s="139">
        <f>WeightingFactors!$B$36*WeightingFactors!$B$45*'Combo Data'!C8</f>
        <v>1250671.7984195515</v>
      </c>
      <c r="L9" s="139">
        <f>WeightingFactors!$B$37*WeightingFactors!$B$45*'Combo Data'!D8</f>
        <v>1114786.5713760769</v>
      </c>
      <c r="M9" s="139">
        <f>WeightingFactors!$B$38*WeightingFactors!$B$45*'Combo Data'!E8</f>
        <v>1381939.5662916456</v>
      </c>
      <c r="N9" s="139">
        <f>WeightingFactors!$B$39*WeightingFactors!$B$45*'Combo Data'!F8</f>
        <v>892488.89412534435</v>
      </c>
      <c r="O9" s="139">
        <f>WeightingFactors!$B$40*WeightingFactors!$B$45*'Combo Data'!G8</f>
        <v>92349.183427604003</v>
      </c>
      <c r="P9" s="139">
        <f>WeightingFactors!$B$41*WeightingFactors!$B$45*'Combo Data'!H8</f>
        <v>571905.30022666196</v>
      </c>
      <c r="Q9" s="198"/>
      <c r="R9" s="142">
        <f t="shared" si="0"/>
        <v>23333736.462947596</v>
      </c>
    </row>
    <row r="10" spans="1:18" ht="15.5" x14ac:dyDescent="0.35">
      <c r="A10" s="54" t="s">
        <v>163</v>
      </c>
      <c r="B10" s="139">
        <f>WeightingFactors!$B$22*WeightingFactors!$B$32*'Success Data'!D8</f>
        <v>3623910.912896404</v>
      </c>
      <c r="C10" s="139">
        <f>WeightingFactors!$B$23*WeightingFactors!$B$32*'Success Data'!J8</f>
        <v>1608942.8035799772</v>
      </c>
      <c r="D10" s="139">
        <f>WeightingFactors!$B$24*WeightingFactors!$B$32*'Success Data'!P8</f>
        <v>686977.64244539128</v>
      </c>
      <c r="E10" s="139">
        <f>WeightingFactors!$B$25*WeightingFactors!$B$32*'Success Data'!V8</f>
        <v>2254682.2426795061</v>
      </c>
      <c r="F10" s="139">
        <f>WeightingFactors!$B$26*WeightingFactors!$B$32*'Success Data'!AB8</f>
        <v>2175553.2834171206</v>
      </c>
      <c r="G10" s="139">
        <f>WeightingFactors!$B$27*WeightingFactors!$B$32*'Success Data'!AN8</f>
        <v>821253.00607374066</v>
      </c>
      <c r="H10" s="139">
        <f>WeightingFactors!$B$28*WeightingFactors!$B$32*'Success Data'!AH8</f>
        <v>2638419.0597534766</v>
      </c>
      <c r="I10" s="151"/>
      <c r="J10" s="139">
        <f>WeightingFactors!$B$35*WeightingFactors!$B$45*'Combo Data'!B9</f>
        <v>1211093.5769505783</v>
      </c>
      <c r="K10" s="139">
        <f>WeightingFactors!$B$36*WeightingFactors!$B$45*'Combo Data'!C9</f>
        <v>593673.32203459716</v>
      </c>
      <c r="L10" s="139">
        <f>WeightingFactors!$B$37*WeightingFactors!$B$45*'Combo Data'!D9</f>
        <v>196571.83329589997</v>
      </c>
      <c r="M10" s="139">
        <f>WeightingFactors!$B$38*WeightingFactors!$B$45*'Combo Data'!E9</f>
        <v>552775.8265166583</v>
      </c>
      <c r="N10" s="139">
        <f>WeightingFactors!$B$39*WeightingFactors!$B$45*'Combo Data'!F9</f>
        <v>697566.15339065169</v>
      </c>
      <c r="O10" s="139">
        <f>WeightingFactors!$B$40*WeightingFactors!$B$45*'Combo Data'!G9</f>
        <v>168867.07826761875</v>
      </c>
      <c r="P10" s="139">
        <f>WeightingFactors!$B$41*WeightingFactors!$B$45*'Combo Data'!H9</f>
        <v>393803.30361628282</v>
      </c>
      <c r="Q10" s="198"/>
      <c r="R10" s="142">
        <f t="shared" si="0"/>
        <v>17624090.044917904</v>
      </c>
    </row>
    <row r="11" spans="1:18" ht="15.5" x14ac:dyDescent="0.35">
      <c r="A11" s="54" t="s">
        <v>164</v>
      </c>
      <c r="B11" s="139">
        <f>WeightingFactors!$B$22*WeightingFactors!$B$32*'Success Data'!D9</f>
        <v>4821125.1175205698</v>
      </c>
      <c r="C11" s="139">
        <f>WeightingFactors!$B$23*WeightingFactors!$B$32*'Success Data'!J9</f>
        <v>2728956.3908398552</v>
      </c>
      <c r="D11" s="139">
        <f>WeightingFactors!$B$24*WeightingFactors!$B$32*'Success Data'!P9</f>
        <v>2334503.5042991997</v>
      </c>
      <c r="E11" s="139">
        <f>WeightingFactors!$B$25*WeightingFactors!$B$32*'Success Data'!V9</f>
        <v>2132429.9134869692</v>
      </c>
      <c r="F11" s="139">
        <f>WeightingFactors!$B$26*WeightingFactors!$B$32*'Success Data'!AB9</f>
        <v>2138933.1852518911</v>
      </c>
      <c r="G11" s="139">
        <f>WeightingFactors!$B$27*WeightingFactors!$B$32*'Success Data'!AN9</f>
        <v>446523.48944307864</v>
      </c>
      <c r="H11" s="139">
        <f>WeightingFactors!$B$28*WeightingFactors!$B$32*'Success Data'!AH9</f>
        <v>1902053.7944298577</v>
      </c>
      <c r="I11" s="151"/>
      <c r="J11" s="139">
        <f>WeightingFactors!$B$35*WeightingFactors!$B$45*'Combo Data'!B10</f>
        <v>2081814.4492679874</v>
      </c>
      <c r="K11" s="139">
        <f>WeightingFactors!$B$36*WeightingFactors!$B$45*'Combo Data'!C10</f>
        <v>1124021.4897188374</v>
      </c>
      <c r="L11" s="139">
        <f>WeightingFactors!$B$37*WeightingFactors!$B$45*'Combo Data'!D10</f>
        <v>939323.12286362925</v>
      </c>
      <c r="M11" s="139">
        <f>WeightingFactors!$B$38*WeightingFactors!$B$45*'Combo Data'!E10</f>
        <v>847633.57646050816</v>
      </c>
      <c r="N11" s="139">
        <f>WeightingFactors!$B$39*WeightingFactors!$B$45*'Combo Data'!F10</f>
        <v>715376.35305168957</v>
      </c>
      <c r="O11" s="139">
        <f>WeightingFactors!$B$40*WeightingFactors!$B$45*'Combo Data'!G10</f>
        <v>127969.58274967983</v>
      </c>
      <c r="P11" s="139">
        <f>WeightingFactors!$B$41*WeightingFactors!$B$45*'Combo Data'!H10</f>
        <v>589055.86286321701</v>
      </c>
      <c r="Q11" s="198"/>
      <c r="R11" s="142">
        <f t="shared" si="0"/>
        <v>22929719.832246963</v>
      </c>
    </row>
    <row r="12" spans="1:18" ht="15.5" x14ac:dyDescent="0.35">
      <c r="A12" s="54" t="s">
        <v>165</v>
      </c>
      <c r="B12" s="139">
        <f>WeightingFactors!$B$22*WeightingFactors!$B$32*'Success Data'!D10</f>
        <v>6304786.3654451063</v>
      </c>
      <c r="C12" s="139">
        <f>WeightingFactors!$B$23*WeightingFactors!$B$32*'Success Data'!J10</f>
        <v>3060895.3700022083</v>
      </c>
      <c r="D12" s="139">
        <f>WeightingFactors!$B$24*WeightingFactors!$B$32*'Success Data'!P10</f>
        <v>3607566.2000869573</v>
      </c>
      <c r="E12" s="139">
        <f>WeightingFactors!$B$25*WeightingFactors!$B$32*'Success Data'!V10</f>
        <v>1675730.1408605627</v>
      </c>
      <c r="F12" s="139">
        <f>WeightingFactors!$B$26*WeightingFactors!$B$32*'Success Data'!AB10</f>
        <v>1624073.8397947785</v>
      </c>
      <c r="G12" s="139">
        <f>WeightingFactors!$B$27*WeightingFactors!$B$32*'Success Data'!AN10</f>
        <v>392240.24170686124</v>
      </c>
      <c r="H12" s="139">
        <f>WeightingFactors!$B$28*WeightingFactors!$B$32*'Success Data'!AH10</f>
        <v>986283.17355466576</v>
      </c>
      <c r="I12" s="151"/>
      <c r="J12" s="139">
        <f>WeightingFactors!$B$35*WeightingFactors!$B$45*'Combo Data'!B11</f>
        <v>2507280.3300594487</v>
      </c>
      <c r="K12" s="139">
        <f>WeightingFactors!$B$36*WeightingFactors!$B$45*'Combo Data'!C11</f>
        <v>1224286.317440236</v>
      </c>
      <c r="L12" s="139">
        <f>WeightingFactors!$B$37*WeightingFactors!$B$45*'Combo Data'!D11</f>
        <v>1104232.3789843507</v>
      </c>
      <c r="M12" s="139">
        <f>WeightingFactors!$B$38*WeightingFactors!$B$45*'Combo Data'!E11</f>
        <v>624016.62516080996</v>
      </c>
      <c r="N12" s="139">
        <f>WeightingFactors!$B$39*WeightingFactors!$B$45*'Combo Data'!F11</f>
        <v>559042.3782492457</v>
      </c>
      <c r="O12" s="139">
        <f>WeightingFactors!$B$40*WeightingFactors!$B$45*'Combo Data'!G11</f>
        <v>92349.183427604003</v>
      </c>
      <c r="P12" s="139">
        <f>WeightingFactors!$B$41*WeightingFactors!$B$45*'Combo Data'!H11</f>
        <v>259896.98764625698</v>
      </c>
      <c r="Q12" s="198"/>
      <c r="R12" s="142">
        <f t="shared" si="0"/>
        <v>24022679.532419097</v>
      </c>
    </row>
    <row r="13" spans="1:18" ht="15.5" x14ac:dyDescent="0.35">
      <c r="A13" s="54" t="s">
        <v>166</v>
      </c>
      <c r="B13" s="139">
        <f>WeightingFactors!$B$22*WeightingFactors!$B$32*'Success Data'!D11</f>
        <v>11270755.551206212</v>
      </c>
      <c r="C13" s="139">
        <f>WeightingFactors!$B$23*WeightingFactors!$B$32*'Success Data'!J11</f>
        <v>5882635.6411275938</v>
      </c>
      <c r="D13" s="139">
        <f>WeightingFactors!$B$24*WeightingFactors!$B$32*'Success Data'!P11</f>
        <v>9412409.0087527316</v>
      </c>
      <c r="E13" s="139">
        <f>WeightingFactors!$B$25*WeightingFactors!$B$32*'Success Data'!V11</f>
        <v>5107527.6674796408</v>
      </c>
      <c r="F13" s="139">
        <f>WeightingFactors!$B$26*WeightingFactors!$B$32*'Success Data'!AB11</f>
        <v>4904151.4023931986</v>
      </c>
      <c r="G13" s="139">
        <f>WeightingFactors!$B$27*WeightingFactors!$B$32*'Success Data'!AN11</f>
        <v>1551450.2417512457</v>
      </c>
      <c r="H13" s="139">
        <f>WeightingFactors!$B$28*WeightingFactors!$B$32*'Success Data'!AH11</f>
        <v>4066521.3925023139</v>
      </c>
      <c r="I13" s="151"/>
      <c r="J13" s="139">
        <f>WeightingFactors!$B$35*WeightingFactors!$B$45*'Combo Data'!B12</f>
        <v>3290929.115145117</v>
      </c>
      <c r="K13" s="139">
        <f>WeightingFactors!$B$36*WeightingFactors!$B$45*'Combo Data'!C12</f>
        <v>2168886.5364997284</v>
      </c>
      <c r="L13" s="139">
        <f>WeightingFactors!$B$37*WeightingFactors!$B$45*'Combo Data'!D12</f>
        <v>2633271.0017356798</v>
      </c>
      <c r="M13" s="139">
        <f>WeightingFactors!$B$38*WeightingFactors!$B$45*'Combo Data'!E12</f>
        <v>1508589.8749923597</v>
      </c>
      <c r="N13" s="139">
        <f>WeightingFactors!$B$39*WeightingFactors!$B$45*'Combo Data'!F12</f>
        <v>1506940.7824311524</v>
      </c>
      <c r="O13" s="139">
        <f>WeightingFactors!$B$40*WeightingFactors!$B$45*'Combo Data'!G12</f>
        <v>434041.1621097388</v>
      </c>
      <c r="P13" s="139">
        <f>WeightingFactors!$B$41*WeightingFactors!$B$45*'Combo Data'!H12</f>
        <v>509899.41992527066</v>
      </c>
      <c r="Q13" s="198"/>
      <c r="R13" s="142">
        <f t="shared" si="0"/>
        <v>54248008.798051998</v>
      </c>
    </row>
    <row r="14" spans="1:18" ht="15.5" x14ac:dyDescent="0.35">
      <c r="A14" s="54" t="s">
        <v>167</v>
      </c>
      <c r="B14" s="139">
        <f>WeightingFactors!$B$22*WeightingFactors!$B$32*'Success Data'!D12</f>
        <v>1520147.9963212893</v>
      </c>
      <c r="C14" s="139">
        <f>WeightingFactors!$B$23*WeightingFactors!$B$32*'Success Data'!J12</f>
        <v>0</v>
      </c>
      <c r="D14" s="139">
        <f>WeightingFactors!$B$24*WeightingFactors!$B$32*'Success Data'!P12</f>
        <v>356593.77430373995</v>
      </c>
      <c r="E14" s="139">
        <f>WeightingFactors!$B$25*WeightingFactors!$B$32*'Success Data'!V12</f>
        <v>488136.08584734466</v>
      </c>
      <c r="F14" s="139">
        <f>WeightingFactors!$B$26*WeightingFactors!$B$32*'Success Data'!AB12</f>
        <v>181947.95540883488</v>
      </c>
      <c r="G14" s="139">
        <f>WeightingFactors!$B$27*WeightingFactors!$B$32*'Success Data'!AN12</f>
        <v>57785.392751457235</v>
      </c>
      <c r="H14" s="139">
        <f>WeightingFactors!$B$28*WeightingFactors!$B$32*'Success Data'!AH12</f>
        <v>749753.72469313967</v>
      </c>
      <c r="I14" s="151"/>
      <c r="J14" s="139">
        <f>WeightingFactors!$B$35*WeightingFactors!$B$45*'Combo Data'!B13</f>
        <v>748028.38576359244</v>
      </c>
      <c r="K14" s="139">
        <f>WeightingFactors!$B$36*WeightingFactors!$B$45*'Combo Data'!C13</f>
        <v>0</v>
      </c>
      <c r="L14" s="139">
        <f>WeightingFactors!$B$37*WeightingFactors!$B$45*'Combo Data'!D13</f>
        <v>139843.04919037179</v>
      </c>
      <c r="M14" s="139">
        <f>WeightingFactors!$B$38*WeightingFactors!$B$45*'Combo Data'!E13</f>
        <v>217680.21807935229</v>
      </c>
      <c r="N14" s="139">
        <f>WeightingFactors!$B$39*WeightingFactors!$B$45*'Combo Data'!F13</f>
        <v>222627.49576297394</v>
      </c>
      <c r="O14" s="139">
        <f>WeightingFactors!$B$40*WeightingFactors!$B$45*'Combo Data'!G13</f>
        <v>25066.206930349657</v>
      </c>
      <c r="P14" s="139">
        <f>WeightingFactors!$B$41*WeightingFactors!$B$45*'Combo Data'!H13</f>
        <v>156993.61182692682</v>
      </c>
      <c r="Q14" s="198"/>
      <c r="R14" s="142">
        <f t="shared" si="0"/>
        <v>4864603.8968793722</v>
      </c>
    </row>
    <row r="15" spans="1:18" ht="15.5" x14ac:dyDescent="0.35">
      <c r="A15" s="54" t="s">
        <v>168</v>
      </c>
      <c r="B15" s="139">
        <f>WeightingFactors!$B$22*WeightingFactors!$B$32*'Success Data'!D13</f>
        <v>6330755.5136351464</v>
      </c>
      <c r="C15" s="139">
        <f>WeightingFactors!$B$23*WeightingFactors!$B$32*'Success Data'!J13</f>
        <v>4906642.7921841349</v>
      </c>
      <c r="D15" s="139">
        <f>WeightingFactors!$B$24*WeightingFactors!$B$32*'Success Data'!P13</f>
        <v>3511759.0204813811</v>
      </c>
      <c r="E15" s="139">
        <f>WeightingFactors!$B$25*WeightingFactors!$B$32*'Success Data'!V13</f>
        <v>3952243.1566101653</v>
      </c>
      <c r="F15" s="139">
        <f>WeightingFactors!$B$26*WeightingFactors!$B$32*'Success Data'!AB13</f>
        <v>4805277.3226141268</v>
      </c>
      <c r="G15" s="139">
        <f>WeightingFactors!$B$27*WeightingFactors!$B$32*'Success Data'!AN13</f>
        <v>1409613.3686340326</v>
      </c>
      <c r="H15" s="139">
        <f>WeightingFactors!$B$28*WeightingFactors!$B$32*'Success Data'!AH13</f>
        <v>3139147.4401735379</v>
      </c>
      <c r="I15" s="151"/>
      <c r="J15" s="139">
        <f>WeightingFactors!$B$35*WeightingFactors!$B$45*'Combo Data'!B14</f>
        <v>2158991.981132485</v>
      </c>
      <c r="K15" s="139">
        <f>WeightingFactors!$B$36*WeightingFactors!$B$45*'Combo Data'!C14</f>
        <v>1277057.2793988667</v>
      </c>
      <c r="L15" s="139">
        <f>WeightingFactors!$B$37*WeightingFactors!$B$45*'Combo Data'!D14</f>
        <v>861485.95397464884</v>
      </c>
      <c r="M15" s="139">
        <f>WeightingFactors!$B$38*WeightingFactors!$B$45*'Combo Data'!E14</f>
        <v>1086422.1793233128</v>
      </c>
      <c r="N15" s="139">
        <f>WeightingFactors!$B$39*WeightingFactors!$B$45*'Combo Data'!F14</f>
        <v>1065643.6130521018</v>
      </c>
      <c r="O15" s="139">
        <f>WeightingFactors!$B$40*WeightingFactors!$B$45*'Combo Data'!G14</f>
        <v>218999.49212831806</v>
      </c>
      <c r="P15" s="139">
        <f>WeightingFactors!$B$41*WeightingFactors!$B$45*'Combo Data'!H14</f>
        <v>478896.47977457504</v>
      </c>
      <c r="Q15" s="198"/>
      <c r="R15" s="142">
        <f t="shared" si="0"/>
        <v>35202935.593116827</v>
      </c>
    </row>
    <row r="16" spans="1:18" ht="15.5" x14ac:dyDescent="0.35">
      <c r="A16" s="54" t="s">
        <v>169</v>
      </c>
      <c r="B16" s="139">
        <f>WeightingFactors!$B$22*WeightingFactors!$B$32*'Success Data'!D14</f>
        <v>374445.89297476463</v>
      </c>
      <c r="C16" s="139">
        <f>WeightingFactors!$B$23*WeightingFactors!$B$32*'Success Data'!J14</f>
        <v>221066.78066188373</v>
      </c>
      <c r="D16" s="139">
        <f>WeightingFactors!$B$24*WeightingFactors!$B$32*'Success Data'!P14</f>
        <v>133247.97517373125</v>
      </c>
      <c r="E16" s="139">
        <f>WeightingFactors!$B$25*WeightingFactors!$B$32*'Success Data'!V14</f>
        <v>198223.41947647091</v>
      </c>
      <c r="F16" s="139">
        <f>WeightingFactors!$B$26*WeightingFactors!$B$32*'Success Data'!AB14</f>
        <v>136534.76333322472</v>
      </c>
      <c r="G16" s="139">
        <f>WeightingFactors!$B$27*WeightingFactors!$B$32*'Success Data'!AN14</f>
        <v>52532.175228597487</v>
      </c>
      <c r="H16" s="139">
        <f>WeightingFactors!$B$28*WeightingFactors!$B$32*'Success Data'!AH14</f>
        <v>135669.72161113954</v>
      </c>
      <c r="I16" s="151"/>
      <c r="J16" s="139">
        <f>WeightingFactors!$B$35*WeightingFactors!$B$45*'Combo Data'!B15</f>
        <v>219659.12915280095</v>
      </c>
      <c r="K16" s="139">
        <f>WeightingFactors!$B$36*WeightingFactors!$B$45*'Combo Data'!C15</f>
        <v>126650.30870071406</v>
      </c>
      <c r="L16" s="139">
        <f>WeightingFactors!$B$37*WeightingFactors!$B$45*'Combo Data'!D15</f>
        <v>58048.058154493949</v>
      </c>
      <c r="M16" s="139">
        <f>WeightingFactors!$B$38*WeightingFactors!$B$45*'Combo Data'!E15</f>
        <v>112138.29416209058</v>
      </c>
      <c r="N16" s="139">
        <f>WeightingFactors!$B$39*WeightingFactors!$B$45*'Combo Data'!F15</f>
        <v>75198.620791048976</v>
      </c>
      <c r="O16" s="139">
        <f>WeightingFactors!$B$40*WeightingFactors!$B$45*'Combo Data'!G15</f>
        <v>22427.658832418114</v>
      </c>
      <c r="P16" s="139">
        <f>WeightingFactors!$B$41*WeightingFactors!$B$45*'Combo Data'!H15</f>
        <v>44195.680640353348</v>
      </c>
      <c r="Q16" s="198"/>
      <c r="R16" s="142">
        <f t="shared" si="0"/>
        <v>1910038.4788937324</v>
      </c>
    </row>
    <row r="17" spans="1:18" ht="15.5" x14ac:dyDescent="0.35">
      <c r="A17" s="54" t="s">
        <v>170</v>
      </c>
      <c r="B17" s="139">
        <f>WeightingFactors!$B$22*WeightingFactors!$B$32*'Success Data'!D15</f>
        <v>1077297.4357107971</v>
      </c>
      <c r="C17" s="139">
        <f>WeightingFactors!$B$23*WeightingFactors!$B$32*'Success Data'!J15</f>
        <v>1897807.9638677775</v>
      </c>
      <c r="D17" s="139">
        <f>WeightingFactors!$B$24*WeightingFactors!$B$32*'Success Data'!P15</f>
        <v>374996.55789974856</v>
      </c>
      <c r="E17" s="139">
        <f>WeightingFactors!$B$25*WeightingFactors!$B$32*'Success Data'!V15</f>
        <v>1421619.9423246463</v>
      </c>
      <c r="F17" s="139">
        <f>WeightingFactors!$B$26*WeightingFactors!$B$32*'Success Data'!AB15</f>
        <v>771094.60213371797</v>
      </c>
      <c r="G17" s="139">
        <f>WeightingFactors!$B$27*WeightingFactors!$B$32*'Success Data'!AN15</f>
        <v>138334.72810197339</v>
      </c>
      <c r="H17" s="139">
        <f>WeightingFactors!$B$28*WeightingFactors!$B$32*'Success Data'!AH15</f>
        <v>1055010.5983182034</v>
      </c>
      <c r="I17" s="151"/>
      <c r="J17" s="139">
        <f>WeightingFactors!$B$35*WeightingFactors!$B$45*'Combo Data'!B16</f>
        <v>540242.72305148339</v>
      </c>
      <c r="K17" s="139">
        <f>WeightingFactors!$B$36*WeightingFactors!$B$45*'Combo Data'!C16</f>
        <v>870720.87231740914</v>
      </c>
      <c r="L17" s="139">
        <f>WeightingFactors!$B$37*WeightingFactors!$B$45*'Combo Data'!D16</f>
        <v>189975.4630510711</v>
      </c>
      <c r="M17" s="139">
        <f>WeightingFactors!$B$38*WeightingFactors!$B$45*'Combo Data'!E16</f>
        <v>682724.3203397867</v>
      </c>
      <c r="N17" s="139">
        <f>WeightingFactors!$B$39*WeightingFactors!$B$45*'Combo Data'!F16</f>
        <v>392813.84807955846</v>
      </c>
      <c r="O17" s="139">
        <f>WeightingFactors!$B$40*WeightingFactors!$B$45*'Combo Data'!G16</f>
        <v>54090.236007596628</v>
      </c>
      <c r="P17" s="139">
        <f>WeightingFactors!$B$41*WeightingFactors!$B$45*'Combo Data'!H16</f>
        <v>350926.89702489524</v>
      </c>
      <c r="Q17" s="198"/>
      <c r="R17" s="142">
        <f t="shared" si="0"/>
        <v>9817656.1882286668</v>
      </c>
    </row>
    <row r="18" spans="1:18" ht="15.5" x14ac:dyDescent="0.35">
      <c r="A18" s="54" t="s">
        <v>171</v>
      </c>
      <c r="B18" s="139">
        <f>WeightingFactors!$B$22*WeightingFactors!$B$32*'Success Data'!D16</f>
        <v>6895089.0933056762</v>
      </c>
      <c r="C18" s="139">
        <f>WeightingFactors!$B$23*WeightingFactors!$B$32*'Success Data'!J16</f>
        <v>1265886.0820913215</v>
      </c>
      <c r="D18" s="139">
        <f>WeightingFactors!$B$24*WeightingFactors!$B$32*'Success Data'!P16</f>
        <v>1005585.2940186491</v>
      </c>
      <c r="E18" s="139">
        <f>WeightingFactors!$B$25*WeightingFactors!$B$32*'Success Data'!V16</f>
        <v>2293104.4032828747</v>
      </c>
      <c r="F18" s="139">
        <f>WeightingFactors!$B$26*WeightingFactors!$B$32*'Success Data'!AB16</f>
        <v>2875926.9170489442</v>
      </c>
      <c r="G18" s="139">
        <f>WeightingFactors!$B$27*WeightingFactors!$B$32*'Success Data'!AN16</f>
        <v>852772.31121089915</v>
      </c>
      <c r="H18" s="139">
        <f>WeightingFactors!$B$28*WeightingFactors!$B$32*'Success Data'!AH16</f>
        <v>1944004.3004543548</v>
      </c>
      <c r="I18" s="151"/>
      <c r="J18" s="139">
        <f>WeightingFactors!$B$35*WeightingFactors!$B$45*'Combo Data'!B17</f>
        <v>2556753.1068956652</v>
      </c>
      <c r="K18" s="139">
        <f>WeightingFactors!$B$36*WeightingFactors!$B$45*'Combo Data'!C17</f>
        <v>575203.48534907633</v>
      </c>
      <c r="L18" s="139">
        <f>WeightingFactors!$B$37*WeightingFactors!$B$45*'Combo Data'!D17</f>
        <v>365438.91156351869</v>
      </c>
      <c r="M18" s="139">
        <f>WeightingFactors!$B$38*WeightingFactors!$B$45*'Combo Data'!E17</f>
        <v>827844.46572602156</v>
      </c>
      <c r="N18" s="139">
        <f>WeightingFactors!$B$39*WeightingFactors!$B$45*'Combo Data'!F17</f>
        <v>951856.22632880404</v>
      </c>
      <c r="O18" s="139">
        <f>WeightingFactors!$B$40*WeightingFactors!$B$45*'Combo Data'!G17</f>
        <v>199210.38139383149</v>
      </c>
      <c r="P18" s="139">
        <f>WeightingFactors!$B$41*WeightingFactors!$B$45*'Combo Data'!H17</f>
        <v>425465.88079146133</v>
      </c>
      <c r="Q18" s="198"/>
      <c r="R18" s="142">
        <f t="shared" si="0"/>
        <v>23034140.859461103</v>
      </c>
    </row>
    <row r="19" spans="1:18" ht="15.5" x14ac:dyDescent="0.35">
      <c r="A19" s="54" t="s">
        <v>172</v>
      </c>
      <c r="B19" s="139">
        <f>WeightingFactors!$B$22*WeightingFactors!$B$32*'Success Data'!D17</f>
        <v>449936.97202567908</v>
      </c>
      <c r="C19" s="139">
        <f>WeightingFactors!$B$23*WeightingFactors!$B$32*'Success Data'!J17</f>
        <v>93548.99232019503</v>
      </c>
      <c r="D19" s="139">
        <f>WeightingFactors!$B$24*WeightingFactors!$B$32*'Success Data'!P17</f>
        <v>19612.01208534306</v>
      </c>
      <c r="E19" s="139">
        <f>WeightingFactors!$B$25*WeightingFactors!$B$32*'Success Data'!V17</f>
        <v>295152.05190769676</v>
      </c>
      <c r="F19" s="139">
        <f>WeightingFactors!$B$26*WeightingFactors!$B$32*'Success Data'!AB17</f>
        <v>119901.53044721262</v>
      </c>
      <c r="G19" s="139">
        <f>WeightingFactors!$B$27*WeightingFactors!$B$32*'Success Data'!AN17</f>
        <v>89304.69788861573</v>
      </c>
      <c r="H19" s="139">
        <f>WeightingFactors!$B$28*WeightingFactors!$B$32*'Success Data'!AH17</f>
        <v>299901.48987725581</v>
      </c>
      <c r="I19" s="151"/>
      <c r="J19" s="139">
        <f>WeightingFactors!$B$35*WeightingFactors!$B$45*'Combo Data'!B18</f>
        <v>118734.66440691943</v>
      </c>
      <c r="K19" s="139">
        <f>WeightingFactors!$B$36*WeightingFactors!$B$45*'Combo Data'!C18</f>
        <v>34301.125273110061</v>
      </c>
      <c r="L19" s="139">
        <f>WeightingFactors!$B$37*WeightingFactors!$B$45*'Combo Data'!D18</f>
        <v>0</v>
      </c>
      <c r="M19" s="139">
        <f>WeightingFactors!$B$38*WeightingFactors!$B$45*'Combo Data'!E18</f>
        <v>91029.909378638229</v>
      </c>
      <c r="N19" s="139">
        <f>WeightingFactors!$B$39*WeightingFactors!$B$45*'Combo Data'!F18</f>
        <v>42546.588079146131</v>
      </c>
      <c r="O19" s="139">
        <f>WeightingFactors!$B$40*WeightingFactors!$B$45*'Combo Data'!G18</f>
        <v>30343.303126212744</v>
      </c>
      <c r="P19" s="139">
        <f>WeightingFactors!$B$41*WeightingFactors!$B$45*'Combo Data'!H18</f>
        <v>24406.569905866774</v>
      </c>
      <c r="Q19" s="198"/>
      <c r="R19" s="142">
        <f t="shared" si="0"/>
        <v>1708719.9067218916</v>
      </c>
    </row>
    <row r="20" spans="1:18" ht="15.5" x14ac:dyDescent="0.35">
      <c r="A20" s="54" t="s">
        <v>173</v>
      </c>
      <c r="B20" s="139">
        <f>WeightingFactors!$B$22*WeightingFactors!$B$32*'Success Data'!D18</f>
        <v>5595094.7371799527</v>
      </c>
      <c r="C20" s="139">
        <f>WeightingFactors!$B$23*WeightingFactors!$B$32*'Success Data'!J18</f>
        <v>4067796.0733715585</v>
      </c>
      <c r="D20" s="139">
        <f>WeightingFactors!$B$24*WeightingFactors!$B$32*'Success Data'!P18</f>
        <v>1150696.715149787</v>
      </c>
      <c r="E20" s="139">
        <f>WeightingFactors!$B$25*WeightingFactors!$B$32*'Success Data'!V18</f>
        <v>5159048.2919250671</v>
      </c>
      <c r="F20" s="139">
        <f>WeightingFactors!$B$26*WeightingFactors!$B$32*'Success Data'!AB18</f>
        <v>5230070.5493192924</v>
      </c>
      <c r="G20" s="139">
        <f>WeightingFactors!$B$27*WeightingFactors!$B$32*'Success Data'!AN18</f>
        <v>1815862.1904018531</v>
      </c>
      <c r="H20" s="139">
        <f>WeightingFactors!$B$28*WeightingFactors!$B$32*'Success Data'!AH18</f>
        <v>5309862.9859517701</v>
      </c>
      <c r="I20" s="151"/>
      <c r="J20" s="139">
        <f>WeightingFactors!$B$35*WeightingFactors!$B$45*'Combo Data'!B19</f>
        <v>1638538.3688154882</v>
      </c>
      <c r="K20" s="139">
        <f>WeightingFactors!$B$36*WeightingFactors!$B$45*'Combo Data'!C19</f>
        <v>1034310.8543891648</v>
      </c>
      <c r="L20" s="139">
        <f>WeightingFactors!$B$37*WeightingFactors!$B$45*'Combo Data'!D19</f>
        <v>146439.41943520063</v>
      </c>
      <c r="M20" s="139">
        <f>WeightingFactors!$B$38*WeightingFactors!$B$45*'Combo Data'!E19</f>
        <v>794202.97747739439</v>
      </c>
      <c r="N20" s="139">
        <f>WeightingFactors!$B$39*WeightingFactors!$B$45*'Combo Data'!F19</f>
        <v>1257597.9871766216</v>
      </c>
      <c r="O20" s="139">
        <f>WeightingFactors!$B$40*WeightingFactors!$B$45*'Combo Data'!G19</f>
        <v>234830.78071590731</v>
      </c>
      <c r="P20" s="139">
        <f>WeightingFactors!$B$41*WeightingFactors!$B$45*'Combo Data'!H19</f>
        <v>368737.09668593312</v>
      </c>
      <c r="Q20" s="198"/>
      <c r="R20" s="142">
        <f t="shared" si="0"/>
        <v>33803089.02799499</v>
      </c>
    </row>
    <row r="21" spans="1:18" ht="15.5" x14ac:dyDescent="0.35">
      <c r="A21" s="54" t="s">
        <v>174</v>
      </c>
      <c r="B21" s="139">
        <f>WeightingFactors!$B$22*WeightingFactors!$B$32*'Success Data'!D19</f>
        <v>943257.71156689443</v>
      </c>
      <c r="C21" s="139">
        <f>WeightingFactors!$B$23*WeightingFactors!$B$32*'Success Data'!J19</f>
        <v>587647.40489799785</v>
      </c>
      <c r="D21" s="139">
        <f>WeightingFactors!$B$24*WeightingFactors!$B$32*'Success Data'!P19</f>
        <v>1346731.6052040914</v>
      </c>
      <c r="E21" s="139">
        <f>WeightingFactors!$B$25*WeightingFactors!$B$32*'Success Data'!V19</f>
        <v>709936.74023951928</v>
      </c>
      <c r="F21" s="139">
        <f>WeightingFactors!$B$26*WeightingFactors!$B$32*'Success Data'!AB19</f>
        <v>486221.59019854636</v>
      </c>
      <c r="G21" s="139">
        <f>WeightingFactors!$B$27*WeightingFactors!$B$32*'Success Data'!AN19</f>
        <v>138334.72810197339</v>
      </c>
      <c r="H21" s="139">
        <f>WeightingFactors!$B$28*WeightingFactors!$B$32*'Success Data'!AH19</f>
        <v>2040401.2079149012</v>
      </c>
      <c r="I21" s="151"/>
      <c r="J21" s="139">
        <f>WeightingFactors!$B$35*WeightingFactors!$B$45*'Combo Data'!B20</f>
        <v>405676.77005697472</v>
      </c>
      <c r="K21" s="139">
        <f>WeightingFactors!$B$36*WeightingFactors!$B$45*'Combo Data'!C20</f>
        <v>208445.2997365919</v>
      </c>
      <c r="L21" s="139">
        <f>WeightingFactors!$B$37*WeightingFactors!$B$45*'Combo Data'!D20</f>
        <v>339053.43058420328</v>
      </c>
      <c r="M21" s="139">
        <f>WeightingFactors!$B$38*WeightingFactors!$B$45*'Combo Data'!E20</f>
        <v>209104.93676107479</v>
      </c>
      <c r="N21" s="139">
        <f>WeightingFactors!$B$39*WeightingFactors!$B$45*'Combo Data'!F20</f>
        <v>167217.98570641153</v>
      </c>
      <c r="O21" s="139">
        <f>WeightingFactors!$B$40*WeightingFactors!$B$45*'Combo Data'!G20</f>
        <v>31662.577175178514</v>
      </c>
      <c r="P21" s="139">
        <f>WeightingFactors!$B$41*WeightingFactors!$B$45*'Combo Data'!H20</f>
        <v>137864.13811692313</v>
      </c>
      <c r="Q21" s="198"/>
      <c r="R21" s="142">
        <f t="shared" si="0"/>
        <v>7751556.1262612818</v>
      </c>
    </row>
    <row r="22" spans="1:18" ht="15.5" x14ac:dyDescent="0.35">
      <c r="A22" s="54" t="s">
        <v>175</v>
      </c>
      <c r="B22" s="139">
        <f>WeightingFactors!$B$22*WeightingFactors!$B$32*'Success Data'!D20</f>
        <v>982658.11848988419</v>
      </c>
      <c r="C22" s="139">
        <f>WeightingFactors!$B$23*WeightingFactors!$B$32*'Success Data'!J20</f>
        <v>1915564.9269631377</v>
      </c>
      <c r="D22" s="139">
        <f>WeightingFactors!$B$24*WeightingFactors!$B$32*'Success Data'!P20</f>
        <v>412251.62421694334</v>
      </c>
      <c r="E22" s="139">
        <f>WeightingFactors!$B$25*WeightingFactors!$B$32*'Success Data'!V20</f>
        <v>2032008.3573645279</v>
      </c>
      <c r="F22" s="139">
        <f>WeightingFactors!$B$26*WeightingFactors!$B$32*'Success Data'!AB20</f>
        <v>1966872.0606713733</v>
      </c>
      <c r="G22" s="139">
        <f>WeightingFactors!$B$27*WeightingFactors!$B$32*'Success Data'!AN20</f>
        <v>455278.85198117822</v>
      </c>
      <c r="H22" s="139">
        <f>WeightingFactors!$B$28*WeightingFactors!$B$32*'Success Data'!AH20</f>
        <v>1456664.379403814</v>
      </c>
      <c r="I22" s="151"/>
      <c r="J22" s="139">
        <f>WeightingFactors!$B$35*WeightingFactors!$B$45*'Combo Data'!B21</f>
        <v>445254.99152594787</v>
      </c>
      <c r="K22" s="139">
        <f>WeightingFactors!$B$36*WeightingFactors!$B$45*'Combo Data'!C21</f>
        <v>833781.1989463676</v>
      </c>
      <c r="L22" s="139">
        <f>WeightingFactors!$B$37*WeightingFactors!$B$45*'Combo Data'!D21</f>
        <v>184698.36685520801</v>
      </c>
      <c r="M22" s="139">
        <f>WeightingFactors!$B$38*WeightingFactors!$B$45*'Combo Data'!E21</f>
        <v>812672.81416291522</v>
      </c>
      <c r="N22" s="139">
        <f>WeightingFactors!$B$39*WeightingFactors!$B$45*'Combo Data'!F21</f>
        <v>838068.83960550628</v>
      </c>
      <c r="O22" s="139">
        <f>WeightingFactors!$B$40*WeightingFactors!$B$45*'Combo Data'!G21</f>
        <v>166228.5301696872</v>
      </c>
      <c r="P22" s="139">
        <f>WeightingFactors!$B$41*WeightingFactors!$B$45*'Combo Data'!H21</f>
        <v>323222.14199661399</v>
      </c>
      <c r="Q22" s="198"/>
      <c r="R22" s="142">
        <f t="shared" si="0"/>
        <v>12825225.202353105</v>
      </c>
    </row>
    <row r="23" spans="1:18" ht="15.5" x14ac:dyDescent="0.35">
      <c r="A23" s="54" t="s">
        <v>176</v>
      </c>
      <c r="B23" s="139">
        <f>WeightingFactors!$B$22*WeightingFactors!$B$32*'Success Data'!D21</f>
        <v>5906105.6013361719</v>
      </c>
      <c r="C23" s="139">
        <f>WeightingFactors!$B$23*WeightingFactors!$B$32*'Success Data'!J21</f>
        <v>3489981.3260693499</v>
      </c>
      <c r="D23" s="139">
        <f>WeightingFactors!$B$24*WeightingFactors!$B$32*'Success Data'!P21</f>
        <v>2903133.5972482353</v>
      </c>
      <c r="E23" s="139">
        <f>WeightingFactors!$B$25*WeightingFactors!$B$32*'Success Data'!V21</f>
        <v>2101866.8311888347</v>
      </c>
      <c r="F23" s="139">
        <f>WeightingFactors!$B$26*WeightingFactors!$B$32*'Success Data'!AB21</f>
        <v>2474292.9752614689</v>
      </c>
      <c r="G23" s="139">
        <f>WeightingFactors!$B$27*WeightingFactors!$B$32*'Success Data'!AN21</f>
        <v>956085.58916047425</v>
      </c>
      <c r="H23" s="139">
        <f>WeightingFactors!$B$28*WeightingFactors!$B$32*'Success Data'!AH21</f>
        <v>1775309.7123983984</v>
      </c>
      <c r="I23" s="151"/>
      <c r="J23" s="139">
        <f>WeightingFactors!$B$35*WeightingFactors!$B$45*'Combo Data'!B22</f>
        <v>2097645.7378555764</v>
      </c>
      <c r="K23" s="139">
        <f>WeightingFactors!$B$36*WeightingFactors!$B$45*'Combo Data'!C22</f>
        <v>1166238.259285742</v>
      </c>
      <c r="L23" s="139">
        <f>WeightingFactors!$B$37*WeightingFactors!$B$45*'Combo Data'!D22</f>
        <v>947238.76715742389</v>
      </c>
      <c r="M23" s="139">
        <f>WeightingFactors!$B$38*WeightingFactors!$B$45*'Combo Data'!E22</f>
        <v>738793.46742083202</v>
      </c>
      <c r="N23" s="139">
        <f>WeightingFactors!$B$39*WeightingFactors!$B$45*'Combo Data'!F22</f>
        <v>872699.78339085774</v>
      </c>
      <c r="O23" s="139">
        <f>WeightingFactors!$B$40*WeightingFactors!$B$45*'Combo Data'!G22</f>
        <v>282324.64647867507</v>
      </c>
      <c r="P23" s="139">
        <f>WeightingFactors!$B$41*WeightingFactors!$B$45*'Combo Data'!H22</f>
        <v>271770.45408694894</v>
      </c>
      <c r="Q23" s="198"/>
      <c r="R23" s="142">
        <f t="shared" si="0"/>
        <v>25983486.74833899</v>
      </c>
    </row>
    <row r="24" spans="1:18" ht="15.5" x14ac:dyDescent="0.35">
      <c r="A24" s="54" t="s">
        <v>177</v>
      </c>
      <c r="B24" s="139">
        <f>WeightingFactors!$B$22*WeightingFactors!$B$32*'Success Data'!D22</f>
        <v>1444864.8503990772</v>
      </c>
      <c r="C24" s="139">
        <f>WeightingFactors!$B$23*WeightingFactors!$B$32*'Success Data'!J22</f>
        <v>1565270.8734582681</v>
      </c>
      <c r="D24" s="139">
        <f>WeightingFactors!$B$24*WeightingFactors!$B$32*'Success Data'!P22</f>
        <v>1436800.0581803082</v>
      </c>
      <c r="E24" s="139">
        <f>WeightingFactors!$B$25*WeightingFactors!$B$32*'Success Data'!V22</f>
        <v>758837.67191653408</v>
      </c>
      <c r="F24" s="139">
        <f>WeightingFactors!$B$26*WeightingFactors!$B$32*'Success Data'!AB22</f>
        <v>1091785.0636366326</v>
      </c>
      <c r="G24" s="139">
        <f>WeightingFactors!$B$27*WeightingFactors!$B$32*'Success Data'!AN22</f>
        <v>343210.21149350359</v>
      </c>
      <c r="H24" s="139">
        <f>WeightingFactors!$B$28*WeightingFactors!$B$32*'Success Data'!AH22</f>
        <v>2180533.7493158812</v>
      </c>
      <c r="I24" s="151"/>
      <c r="J24" s="139">
        <f>WeightingFactors!$B$35*WeightingFactors!$B$45*'Combo Data'!B23</f>
        <v>670850.85389909474</v>
      </c>
      <c r="K24" s="139">
        <f>WeightingFactors!$B$36*WeightingFactors!$B$45*'Combo Data'!C23</f>
        <v>688661.05356013274</v>
      </c>
      <c r="L24" s="139">
        <f>WeightingFactors!$B$37*WeightingFactors!$B$45*'Combo Data'!D23</f>
        <v>562010.74485941872</v>
      </c>
      <c r="M24" s="139">
        <f>WeightingFactors!$B$38*WeightingFactors!$B$45*'Combo Data'!E23</f>
        <v>344330.52678006637</v>
      </c>
      <c r="N24" s="139">
        <f>WeightingFactors!$B$39*WeightingFactors!$B$45*'Combo Data'!F23</f>
        <v>329488.69372920139</v>
      </c>
      <c r="O24" s="139">
        <f>WeightingFactors!$B$40*WeightingFactors!$B$45*'Combo Data'!G23</f>
        <v>121373.21250485098</v>
      </c>
      <c r="P24" s="139">
        <f>WeightingFactors!$B$41*WeightingFactors!$B$45*'Combo Data'!H23</f>
        <v>254619.89145039389</v>
      </c>
      <c r="Q24" s="198"/>
      <c r="R24" s="142">
        <f t="shared" si="0"/>
        <v>11792637.455183363</v>
      </c>
    </row>
    <row r="25" spans="1:18" ht="15.5" x14ac:dyDescent="0.35">
      <c r="A25" s="54" t="s">
        <v>178</v>
      </c>
      <c r="B25" s="139">
        <f>WeightingFactors!$B$22*WeightingFactors!$B$32*'Success Data'!D23</f>
        <v>2704388.2550481097</v>
      </c>
      <c r="C25" s="139">
        <f>WeightingFactors!$B$23*WeightingFactors!$B$32*'Success Data'!J23</f>
        <v>1394036.9263718072</v>
      </c>
      <c r="D25" s="139">
        <f>WeightingFactors!$B$24*WeightingFactors!$B$32*'Success Data'!P23</f>
        <v>1155152.2249916892</v>
      </c>
      <c r="E25" s="139">
        <f>WeightingFactors!$B$25*WeightingFactors!$B$32*'Success Data'!V23</f>
        <v>1090665.4225819921</v>
      </c>
      <c r="F25" s="139">
        <f>WeightingFactors!$B$26*WeightingFactors!$B$32*'Success Data'!AB23</f>
        <v>743051.65849396808</v>
      </c>
      <c r="G25" s="139">
        <f>WeightingFactors!$B$27*WeightingFactors!$B$32*'Success Data'!AN23</f>
        <v>201373.33837629037</v>
      </c>
      <c r="H25" s="139">
        <f>WeightingFactors!$B$28*WeightingFactors!$B$32*'Success Data'!AH23</f>
        <v>633720.41015729657</v>
      </c>
      <c r="I25" s="151"/>
      <c r="J25" s="139">
        <f>WeightingFactors!$B$35*WeightingFactors!$B$45*'Combo Data'!B24</f>
        <v>1385237.7514140599</v>
      </c>
      <c r="K25" s="139">
        <f>WeightingFactors!$B$36*WeightingFactors!$B$45*'Combo Data'!C24</f>
        <v>699215.24595185893</v>
      </c>
      <c r="L25" s="139">
        <f>WeightingFactors!$B$37*WeightingFactors!$B$45*'Combo Data'!D24</f>
        <v>538263.81197803479</v>
      </c>
      <c r="M25" s="139">
        <f>WeightingFactors!$B$38*WeightingFactors!$B$45*'Combo Data'!E24</f>
        <v>654359.92828702263</v>
      </c>
      <c r="N25" s="139">
        <f>WeightingFactors!$B$39*WeightingFactors!$B$45*'Combo Data'!F24</f>
        <v>357193.44875748263</v>
      </c>
      <c r="O25" s="139">
        <f>WeightingFactors!$B$40*WeightingFactors!$B$45*'Combo Data'!G24</f>
        <v>91029.909378638229</v>
      </c>
      <c r="P25" s="139">
        <f>WeightingFactors!$B$41*WeightingFactors!$B$45*'Combo Data'!H24</f>
        <v>287601.74267453817</v>
      </c>
      <c r="Q25" s="198"/>
      <c r="R25" s="142">
        <f t="shared" si="0"/>
        <v>11935290.074462788</v>
      </c>
    </row>
    <row r="26" spans="1:18" ht="15.5" x14ac:dyDescent="0.35">
      <c r="A26" s="54" t="s">
        <v>179</v>
      </c>
      <c r="B26" s="139">
        <f>WeightingFactors!$B$22*WeightingFactors!$B$32*'Success Data'!D24</f>
        <v>3490007.4367257692</v>
      </c>
      <c r="C26" s="139">
        <f>WeightingFactors!$B$23*WeightingFactors!$B$32*'Success Data'!J24</f>
        <v>2987923.7953226566</v>
      </c>
      <c r="D26" s="139">
        <f>WeightingFactors!$B$24*WeightingFactors!$B$32*'Success Data'!P24</f>
        <v>1022980.7208689702</v>
      </c>
      <c r="E26" s="139">
        <f>WeightingFactors!$B$25*WeightingFactors!$B$32*'Success Data'!V24</f>
        <v>4133875.1885533626</v>
      </c>
      <c r="F26" s="139">
        <f>WeightingFactors!$B$26*WeightingFactors!$B$32*'Success Data'!AB24</f>
        <v>2173696.3027753364</v>
      </c>
      <c r="G26" s="139">
        <f>WeightingFactors!$B$27*WeightingFactors!$B$32*'Success Data'!AN24</f>
        <v>495553.51965643629</v>
      </c>
      <c r="H26" s="139">
        <f>WeightingFactors!$B$28*WeightingFactors!$B$32*'Success Data'!AH24</f>
        <v>3393528.1681944248</v>
      </c>
      <c r="I26" s="151"/>
      <c r="J26" s="139">
        <f>WeightingFactors!$B$35*WeightingFactors!$B$45*'Combo Data'!B25</f>
        <v>1735505.0114144722</v>
      </c>
      <c r="K26" s="139">
        <f>WeightingFactors!$B$36*WeightingFactors!$B$45*'Combo Data'!C25</f>
        <v>1332466.7894554292</v>
      </c>
      <c r="L26" s="139">
        <f>WeightingFactors!$B$37*WeightingFactors!$B$45*'Combo Data'!D25</f>
        <v>490769.946215267</v>
      </c>
      <c r="M26" s="139">
        <f>WeightingFactors!$B$38*WeightingFactors!$B$45*'Combo Data'!E25</f>
        <v>1688011.1456517046</v>
      </c>
      <c r="N26" s="139">
        <f>WeightingFactors!$B$39*WeightingFactors!$B$45*'Combo Data'!F25</f>
        <v>1472309.8386458009</v>
      </c>
      <c r="O26" s="139">
        <f>WeightingFactors!$B$40*WeightingFactors!$B$45*'Combo Data'!G25</f>
        <v>178101.99661037917</v>
      </c>
      <c r="P26" s="139">
        <f>WeightingFactors!$B$41*WeightingFactors!$B$45*'Combo Data'!H25</f>
        <v>965048.96681846189</v>
      </c>
      <c r="Q26" s="198"/>
      <c r="R26" s="142">
        <f t="shared" si="0"/>
        <v>25559778.826908477</v>
      </c>
    </row>
    <row r="27" spans="1:18" ht="15.5" x14ac:dyDescent="0.35">
      <c r="A27" s="54" t="s">
        <v>180</v>
      </c>
      <c r="B27" s="139">
        <f>WeightingFactors!$B$22*WeightingFactors!$B$32*'Success Data'!D25</f>
        <v>236774.60636194251</v>
      </c>
      <c r="C27" s="139">
        <f>WeightingFactors!$B$23*WeightingFactors!$B$32*'Success Data'!J25</f>
        <v>178459.22536254182</v>
      </c>
      <c r="D27" s="139">
        <f>WeightingFactors!$B$24*WeightingFactors!$B$32*'Success Data'!P25</f>
        <v>54594.982328374346</v>
      </c>
      <c r="E27" s="139">
        <f>WeightingFactors!$B$25*WeightingFactors!$B$32*'Success Data'!V25</f>
        <v>250617.27484470111</v>
      </c>
      <c r="F27" s="139">
        <f>WeightingFactors!$B$26*WeightingFactors!$B$32*'Success Data'!AB25</f>
        <v>134575.38303635301</v>
      </c>
      <c r="G27" s="139">
        <f>WeightingFactors!$B$27*WeightingFactors!$B$32*'Success Data'!AN25</f>
        <v>24515.015106678828</v>
      </c>
      <c r="H27" s="139">
        <f>WeightingFactors!$B$28*WeightingFactors!$B$32*'Success Data'!AH25</f>
        <v>800629.87029731693</v>
      </c>
      <c r="I27" s="151"/>
      <c r="J27" s="139">
        <f>WeightingFactors!$B$35*WeightingFactors!$B$45*'Combo Data'!B26</f>
        <v>100924.46474588152</v>
      </c>
      <c r="K27" s="139">
        <f>WeightingFactors!$B$36*WeightingFactors!$B$45*'Combo Data'!C26</f>
        <v>73879.346742083202</v>
      </c>
      <c r="L27" s="139">
        <f>WeightingFactors!$B$37*WeightingFactors!$B$45*'Combo Data'!D26</f>
        <v>14512.014538623487</v>
      </c>
      <c r="M27" s="139">
        <f>WeightingFactors!$B$38*WeightingFactors!$B$45*'Combo Data'!E26</f>
        <v>52770.961958630862</v>
      </c>
      <c r="N27" s="139">
        <f>WeightingFactors!$B$39*WeightingFactors!$B$45*'Combo Data'!F26</f>
        <v>60356.787740184045</v>
      </c>
      <c r="O27" s="139">
        <f>WeightingFactors!$B$40*WeightingFactors!$B$45*'Combo Data'!G26</f>
        <v>6596.3702448288577</v>
      </c>
      <c r="P27" s="139">
        <f>WeightingFactors!$B$41*WeightingFactors!$B$45*'Combo Data'!H26</f>
        <v>38918.584444490261</v>
      </c>
      <c r="Q27" s="198"/>
      <c r="R27" s="142">
        <f t="shared" si="0"/>
        <v>2028124.8877526305</v>
      </c>
    </row>
    <row r="28" spans="1:18" ht="15.5" x14ac:dyDescent="0.35">
      <c r="A28" s="54" t="s">
        <v>181</v>
      </c>
      <c r="B28" s="139">
        <f>WeightingFactors!$B$22*WeightingFactors!$B$32*'Success Data'!D26</f>
        <v>581804.64012875431</v>
      </c>
      <c r="C28" s="139">
        <f>WeightingFactors!$B$23*WeightingFactors!$B$32*'Success Data'!J26</f>
        <v>172376.83731902885</v>
      </c>
      <c r="D28" s="139">
        <f>WeightingFactors!$B$24*WeightingFactors!$B$32*'Success Data'!P26</f>
        <v>245058.2657376593</v>
      </c>
      <c r="E28" s="139">
        <f>WeightingFactors!$B$25*WeightingFactors!$B$32*'Success Data'!V26</f>
        <v>252363.73669030881</v>
      </c>
      <c r="F28" s="139">
        <f>WeightingFactors!$B$26*WeightingFactors!$B$32*'Success Data'!AB26</f>
        <v>112980.9990045483</v>
      </c>
      <c r="G28" s="139">
        <f>WeightingFactors!$B$27*WeightingFactors!$B$32*'Success Data'!AN26</f>
        <v>43776.812690497907</v>
      </c>
      <c r="H28" s="139">
        <f>WeightingFactors!$B$28*WeightingFactors!$B$32*'Success Data'!AH26</f>
        <v>346314.81569159304</v>
      </c>
      <c r="I28" s="151"/>
      <c r="J28" s="139">
        <f>WeightingFactors!$B$35*WeightingFactors!$B$45*'Combo Data'!B27</f>
        <v>186017.64090417378</v>
      </c>
      <c r="K28" s="139">
        <f>WeightingFactors!$B$36*WeightingFactors!$B$45*'Combo Data'!C27</f>
        <v>79156.442937946296</v>
      </c>
      <c r="L28" s="139">
        <f>WeightingFactors!$B$37*WeightingFactors!$B$45*'Combo Data'!D27</f>
        <v>105541.92391726172</v>
      </c>
      <c r="M28" s="139">
        <f>WeightingFactors!$B$38*WeightingFactors!$B$45*'Combo Data'!E27</f>
        <v>70581.161619668768</v>
      </c>
      <c r="N28" s="139">
        <f>WeightingFactors!$B$39*WeightingFactors!$B$45*'Combo Data'!F27</f>
        <v>39578.221468973141</v>
      </c>
      <c r="O28" s="139">
        <f>WeightingFactors!$B$40*WeightingFactors!$B$45*'Combo Data'!G27</f>
        <v>9234.9183427604003</v>
      </c>
      <c r="P28" s="139">
        <f>WeightingFactors!$B$41*WeightingFactors!$B$45*'Combo Data'!H27</f>
        <v>25066.206930349657</v>
      </c>
      <c r="Q28" s="198"/>
      <c r="R28" s="142">
        <f t="shared" si="0"/>
        <v>2269852.6233835244</v>
      </c>
    </row>
    <row r="29" spans="1:18" ht="15.5" x14ac:dyDescent="0.35">
      <c r="A29" s="54" t="s">
        <v>182</v>
      </c>
      <c r="B29" s="139">
        <f>WeightingFactors!$B$22*WeightingFactors!$B$32*'Success Data'!D27</f>
        <v>1913764.8493637438</v>
      </c>
      <c r="C29" s="139">
        <f>WeightingFactors!$B$23*WeightingFactors!$B$32*'Success Data'!J27</f>
        <v>3153648.9802650958</v>
      </c>
      <c r="D29" s="139">
        <f>WeightingFactors!$B$24*WeightingFactors!$B$32*'Success Data'!P27</f>
        <v>335838.97298316611</v>
      </c>
      <c r="E29" s="139">
        <f>WeightingFactors!$B$25*WeightingFactors!$B$32*'Success Data'!V27</f>
        <v>2637157.3868675865</v>
      </c>
      <c r="F29" s="139">
        <f>WeightingFactors!$B$26*WeightingFactors!$B$32*'Success Data'!AB27</f>
        <v>1977462.4997164339</v>
      </c>
      <c r="G29" s="139">
        <f>WeightingFactors!$B$27*WeightingFactors!$B$32*'Success Data'!AN27</f>
        <v>537579.25983931427</v>
      </c>
      <c r="H29" s="139">
        <f>WeightingFactors!$B$28*WeightingFactors!$B$32*'Success Data'!AH27</f>
        <v>1994880.446058532</v>
      </c>
      <c r="I29" s="151"/>
      <c r="J29" s="139">
        <f>WeightingFactors!$B$35*WeightingFactors!$B$45*'Combo Data'!B28</f>
        <v>969666.42598984204</v>
      </c>
      <c r="K29" s="139">
        <f>WeightingFactors!$B$36*WeightingFactors!$B$45*'Combo Data'!C28</f>
        <v>1353575.1742388816</v>
      </c>
      <c r="L29" s="139">
        <f>WeightingFactors!$B$37*WeightingFactors!$B$45*'Combo Data'!D28</f>
        <v>186017.64090417378</v>
      </c>
      <c r="M29" s="139">
        <f>WeightingFactors!$B$38*WeightingFactors!$B$45*'Combo Data'!E28</f>
        <v>1230882.6876850647</v>
      </c>
      <c r="N29" s="139">
        <f>WeightingFactors!$B$39*WeightingFactors!$B$45*'Combo Data'!F28</f>
        <v>994402.81440795027</v>
      </c>
      <c r="O29" s="139">
        <f>WeightingFactors!$B$40*WeightingFactors!$B$45*'Combo Data'!G28</f>
        <v>184698.36685520801</v>
      </c>
      <c r="P29" s="139">
        <f>WeightingFactors!$B$41*WeightingFactors!$B$45*'Combo Data'!H28</f>
        <v>604227.51442632335</v>
      </c>
      <c r="Q29" s="198"/>
      <c r="R29" s="142">
        <f t="shared" si="0"/>
        <v>18073803.019601319</v>
      </c>
    </row>
    <row r="30" spans="1:18" ht="15.5" x14ac:dyDescent="0.35">
      <c r="A30" s="54" t="s">
        <v>183</v>
      </c>
      <c r="B30" s="139">
        <f>WeightingFactors!$B$22*WeightingFactors!$B$32*'Success Data'!D28</f>
        <v>25456730.610947691</v>
      </c>
      <c r="C30" s="139">
        <f>WeightingFactors!$B$23*WeightingFactors!$B$32*'Success Data'!J28</f>
        <v>9481138.2104321104</v>
      </c>
      <c r="D30" s="139">
        <f>WeightingFactors!$B$24*WeightingFactors!$B$32*'Success Data'!P28</f>
        <v>17289053.700227685</v>
      </c>
      <c r="E30" s="139">
        <f>WeightingFactors!$B$25*WeightingFactors!$B$32*'Success Data'!V28</f>
        <v>17495181.538374867</v>
      </c>
      <c r="F30" s="139">
        <f>WeightingFactors!$B$26*WeightingFactors!$B$32*'Success Data'!AB28</f>
        <v>10281958.583117893</v>
      </c>
      <c r="G30" s="139">
        <f>WeightingFactors!$B$27*WeightingFactors!$B$32*'Success Data'!AN28</f>
        <v>1125939.622399606</v>
      </c>
      <c r="H30" s="139">
        <f>WeightingFactors!$B$28*WeightingFactors!$B$32*'Success Data'!AH28</f>
        <v>15007570.389274344</v>
      </c>
      <c r="I30" s="151"/>
      <c r="J30" s="139">
        <f>WeightingFactors!$B$35*WeightingFactors!$B$45*'Combo Data'!B29</f>
        <v>11691406.621934667</v>
      </c>
      <c r="K30" s="139">
        <f>WeightingFactors!$B$36*WeightingFactors!$B$45*'Combo Data'!C29</f>
        <v>4562049.6613236377</v>
      </c>
      <c r="L30" s="139">
        <f>WeightingFactors!$B$37*WeightingFactors!$B$45*'Combo Data'!D29</f>
        <v>6461804.2918343488</v>
      </c>
      <c r="M30" s="139">
        <f>WeightingFactors!$B$38*WeightingFactors!$B$45*'Combo Data'!E29</f>
        <v>6891227.9947727071</v>
      </c>
      <c r="N30" s="139">
        <f>WeightingFactors!$B$39*WeightingFactors!$B$45*'Combo Data'!F29</f>
        <v>4988834.8161640642</v>
      </c>
      <c r="O30" s="139">
        <f>WeightingFactors!$B$40*WeightingFactors!$B$45*'Combo Data'!G29</f>
        <v>361481.08941662137</v>
      </c>
      <c r="P30" s="139">
        <f>WeightingFactors!$B$41*WeightingFactors!$B$45*'Combo Data'!H29</f>
        <v>3136574.0514161219</v>
      </c>
      <c r="Q30" s="198"/>
      <c r="R30" s="142">
        <f t="shared" si="0"/>
        <v>134230951.18163636</v>
      </c>
    </row>
    <row r="31" spans="1:18" ht="15.5" x14ac:dyDescent="0.35">
      <c r="A31" s="54" t="s">
        <v>184</v>
      </c>
      <c r="B31" s="139">
        <f>WeightingFactors!$B$22*WeightingFactors!$B$32*'Success Data'!D29</f>
        <v>11945871.512454111</v>
      </c>
      <c r="C31" s="139">
        <f>WeightingFactors!$B$23*WeightingFactors!$B$32*'Success Data'!J29</f>
        <v>5925983.3630012022</v>
      </c>
      <c r="D31" s="139">
        <f>WeightingFactors!$B$24*WeightingFactors!$B$32*'Success Data'!P29</f>
        <v>4091763.2706263969</v>
      </c>
      <c r="E31" s="139">
        <f>WeightingFactors!$B$25*WeightingFactors!$B$32*'Success Data'!V29</f>
        <v>7909725.6987571521</v>
      </c>
      <c r="F31" s="139">
        <f>WeightingFactors!$B$26*WeightingFactors!$B$32*'Success Data'!AB29</f>
        <v>5478250.5036235489</v>
      </c>
      <c r="G31" s="139">
        <f>WeightingFactors!$B$27*WeightingFactors!$B$32*'Success Data'!AN29</f>
        <v>1043639.21454147</v>
      </c>
      <c r="H31" s="139">
        <f>WeightingFactors!$B$28*WeightingFactors!$B$32*'Success Data'!AH29</f>
        <v>10776817.228505913</v>
      </c>
      <c r="I31" s="151"/>
      <c r="J31" s="139">
        <f>WeightingFactors!$B$35*WeightingFactors!$B$45*'Combo Data'!B30</f>
        <v>5234219.7892716983</v>
      </c>
      <c r="K31" s="139">
        <f>WeightingFactors!$B$36*WeightingFactors!$B$45*'Combo Data'!C30</f>
        <v>2390524.5767259779</v>
      </c>
      <c r="L31" s="139">
        <f>WeightingFactors!$B$37*WeightingFactors!$B$45*'Combo Data'!D30</f>
        <v>1526400.0746533975</v>
      </c>
      <c r="M31" s="139">
        <f>WeightingFactors!$B$38*WeightingFactors!$B$45*'Combo Data'!E30</f>
        <v>2775092.9619995002</v>
      </c>
      <c r="N31" s="139">
        <f>WeightingFactors!$B$39*WeightingFactors!$B$45*'Combo Data'!F30</f>
        <v>1903712.4526576081</v>
      </c>
      <c r="O31" s="139">
        <f>WeightingFactors!$B$40*WeightingFactors!$B$45*'Combo Data'!G30</f>
        <v>254619.89145039389</v>
      </c>
      <c r="P31" s="139">
        <f>WeightingFactors!$B$41*WeightingFactors!$B$45*'Combo Data'!H30</f>
        <v>1740782.1076103356</v>
      </c>
      <c r="Q31" s="198"/>
      <c r="R31" s="142">
        <f t="shared" si="0"/>
        <v>62997402.645878695</v>
      </c>
    </row>
    <row r="32" spans="1:18" ht="15.5" x14ac:dyDescent="0.35">
      <c r="A32" s="54" t="s">
        <v>185</v>
      </c>
      <c r="B32" s="139">
        <f>WeightingFactors!$B$22*WeightingFactors!$B$32*'Success Data'!D30</f>
        <v>524659.09475255082</v>
      </c>
      <c r="C32" s="139">
        <f>WeightingFactors!$B$23*WeightingFactors!$B$32*'Success Data'!J30</f>
        <v>369151.57510955085</v>
      </c>
      <c r="D32" s="139">
        <f>WeightingFactors!$B$24*WeightingFactors!$B$32*'Success Data'!P30</f>
        <v>102984.72272277313</v>
      </c>
      <c r="E32" s="139">
        <f>WeightingFactors!$B$25*WeightingFactors!$B$32*'Success Data'!V30</f>
        <v>405179.14818098018</v>
      </c>
      <c r="F32" s="139">
        <f>WeightingFactors!$B$26*WeightingFactors!$B$32*'Success Data'!AB30</f>
        <v>429724.37258173001</v>
      </c>
      <c r="G32" s="139">
        <f>WeightingFactors!$B$27*WeightingFactors!$B$32*'Success Data'!AN30</f>
        <v>103313.27794957506</v>
      </c>
      <c r="H32" s="139">
        <f>WeightingFactors!$B$28*WeightingFactors!$B$32*'Success Data'!AH30</f>
        <v>451637.3627318198</v>
      </c>
      <c r="I32" s="151"/>
      <c r="J32" s="139">
        <f>WeightingFactors!$B$35*WeightingFactors!$B$45*'Combo Data'!B31</f>
        <v>195912.19627141705</v>
      </c>
      <c r="K32" s="139">
        <f>WeightingFactors!$B$36*WeightingFactors!$B$45*'Combo Data'!C31</f>
        <v>131927.40489657715</v>
      </c>
      <c r="L32" s="139">
        <f>WeightingFactors!$B$37*WeightingFactors!$B$45*'Combo Data'!D31</f>
        <v>36939.673371041601</v>
      </c>
      <c r="M32" s="139">
        <f>WeightingFactors!$B$38*WeightingFactors!$B$45*'Combo Data'!E31</f>
        <v>100264.82772139863</v>
      </c>
      <c r="N32" s="139">
        <f>WeightingFactors!$B$39*WeightingFactors!$B$45*'Combo Data'!F31</f>
        <v>137534.31960468166</v>
      </c>
      <c r="O32" s="139">
        <f>WeightingFactors!$B$40*WeightingFactors!$B$45*'Combo Data'!G31</f>
        <v>19789.110734486574</v>
      </c>
      <c r="P32" s="139">
        <f>WeightingFactors!$B$41*WeightingFactors!$B$45*'Combo Data'!H31</f>
        <v>55409.510056562402</v>
      </c>
      <c r="Q32" s="198"/>
      <c r="R32" s="142">
        <f t="shared" si="0"/>
        <v>3064426.5966851455</v>
      </c>
    </row>
    <row r="33" spans="1:18" ht="15.5" x14ac:dyDescent="0.35">
      <c r="A33" s="54" t="s">
        <v>186</v>
      </c>
      <c r="B33" s="139">
        <f>WeightingFactors!$B$22*WeightingFactors!$B$32*'Success Data'!D31</f>
        <v>609308.97021179995</v>
      </c>
      <c r="C33" s="139">
        <f>WeightingFactors!$B$23*WeightingFactors!$B$32*'Success Data'!J31</f>
        <v>347019.79944506043</v>
      </c>
      <c r="D33" s="139">
        <f>WeightingFactors!$B$24*WeightingFactors!$B$32*'Success Data'!P31</f>
        <v>122954.63167678226</v>
      </c>
      <c r="E33" s="139">
        <f>WeightingFactors!$B$25*WeightingFactors!$B$32*'Success Data'!V31</f>
        <v>461939.15816322953</v>
      </c>
      <c r="F33" s="139">
        <f>WeightingFactors!$B$26*WeightingFactors!$B$32*'Success Data'!AB31</f>
        <v>276485.65060833364</v>
      </c>
      <c r="G33" s="139">
        <f>WeightingFactors!$B$27*WeightingFactors!$B$32*'Success Data'!AN31</f>
        <v>52532.175228597487</v>
      </c>
      <c r="H33" s="139">
        <f>WeightingFactors!$B$28*WeightingFactors!$B$32*'Success Data'!AH31</f>
        <v>554282.21789814241</v>
      </c>
      <c r="I33" s="151"/>
      <c r="J33" s="139">
        <f>WeightingFactors!$B$35*WeightingFactors!$B$45*'Combo Data'!B32</f>
        <v>344330.52678006631</v>
      </c>
      <c r="K33" s="139">
        <f>WeightingFactors!$B$36*WeightingFactors!$B$45*'Combo Data'!C32</f>
        <v>171505.6263655503</v>
      </c>
      <c r="L33" s="139">
        <f>WeightingFactors!$B$37*WeightingFactors!$B$45*'Combo Data'!D32</f>
        <v>59367.332203459715</v>
      </c>
      <c r="M33" s="139">
        <f>WeightingFactors!$B$38*WeightingFactors!$B$45*'Combo Data'!E32</f>
        <v>235490.4177403902</v>
      </c>
      <c r="N33" s="139">
        <f>WeightingFactors!$B$39*WeightingFactors!$B$45*'Combo Data'!F32</f>
        <v>93008.820452086889</v>
      </c>
      <c r="O33" s="139">
        <f>WeightingFactors!$B$40*WeightingFactors!$B$45*'Combo Data'!G32</f>
        <v>15831.288587589257</v>
      </c>
      <c r="P33" s="139">
        <f>WeightingFactors!$B$41*WeightingFactors!$B$45*'Combo Data'!H32</f>
        <v>132587.04192106004</v>
      </c>
      <c r="Q33" s="198"/>
      <c r="R33" s="142">
        <f t="shared" si="0"/>
        <v>3476643.657282149</v>
      </c>
    </row>
    <row r="34" spans="1:18" ht="15.5" x14ac:dyDescent="0.35">
      <c r="A34" s="54" t="s">
        <v>187</v>
      </c>
      <c r="B34" s="139">
        <f>WeightingFactors!$B$22*WeightingFactors!$B$32*'Success Data'!D32</f>
        <v>1644425.0332991497</v>
      </c>
      <c r="C34" s="139">
        <f>WeightingFactors!$B$23*WeightingFactors!$B$32*'Success Data'!J32</f>
        <v>1699128.3880829038</v>
      </c>
      <c r="D34" s="139">
        <f>WeightingFactors!$B$24*WeightingFactors!$B$32*'Success Data'!P32</f>
        <v>1111466.8296316222</v>
      </c>
      <c r="E34" s="139">
        <f>WeightingFactors!$B$25*WeightingFactors!$B$32*'Success Data'!V32</f>
        <v>1185847.5931676102</v>
      </c>
      <c r="F34" s="139">
        <f>WeightingFactors!$B$26*WeightingFactors!$B$32*'Success Data'!AB32</f>
        <v>1239369.4492779337</v>
      </c>
      <c r="G34" s="139">
        <f>WeightingFactors!$B$27*WeightingFactors!$B$32*'Success Data'!AN32</f>
        <v>311690.90635634511</v>
      </c>
      <c r="H34" s="139">
        <f>WeightingFactors!$B$28*WeightingFactors!$B$32*'Success Data'!AH32</f>
        <v>1296002.8669695698</v>
      </c>
      <c r="I34" s="151"/>
      <c r="J34" s="139">
        <f>WeightingFactors!$B$35*WeightingFactors!$B$45*'Combo Data'!B33</f>
        <v>957792.95954915008</v>
      </c>
      <c r="K34" s="139">
        <f>WeightingFactors!$B$36*WeightingFactors!$B$45*'Combo Data'!C33</f>
        <v>836419.74704429915</v>
      </c>
      <c r="L34" s="139">
        <f>WeightingFactors!$B$37*WeightingFactors!$B$45*'Combo Data'!D33</f>
        <v>465703.73928491736</v>
      </c>
      <c r="M34" s="139">
        <f>WeightingFactors!$B$38*WeightingFactors!$B$45*'Combo Data'!E33</f>
        <v>612143.15872011799</v>
      </c>
      <c r="N34" s="139">
        <f>WeightingFactors!$B$39*WeightingFactors!$B$45*'Combo Data'!F33</f>
        <v>469001.92440733174</v>
      </c>
      <c r="O34" s="139">
        <f>WeightingFactors!$B$40*WeightingFactors!$B$45*'Combo Data'!G33</f>
        <v>110819.0201131248</v>
      </c>
      <c r="P34" s="139">
        <f>WeightingFactors!$B$41*WeightingFactors!$B$45*'Combo Data'!H33</f>
        <v>425465.88079146133</v>
      </c>
      <c r="Q34" s="198"/>
      <c r="R34" s="142">
        <f t="shared" si="0"/>
        <v>12365277.496695537</v>
      </c>
    </row>
    <row r="35" spans="1:18" ht="15.5" x14ac:dyDescent="0.35">
      <c r="A35" s="54" t="s">
        <v>188</v>
      </c>
      <c r="B35" s="139">
        <f>WeightingFactors!$B$22*WeightingFactors!$B$32*'Success Data'!D33</f>
        <v>2535118.9076542868</v>
      </c>
      <c r="C35" s="139">
        <f>WeightingFactors!$B$23*WeightingFactors!$B$32*'Success Data'!J33</f>
        <v>810543.92873793165</v>
      </c>
      <c r="D35" s="139">
        <f>WeightingFactors!$B$24*WeightingFactors!$B$32*'Success Data'!P33</f>
        <v>1870886.3668342968</v>
      </c>
      <c r="E35" s="139">
        <f>WeightingFactors!$B$25*WeightingFactors!$B$32*'Success Data'!V33</f>
        <v>1651279.6750220552</v>
      </c>
      <c r="F35" s="139">
        <f>WeightingFactors!$B$26*WeightingFactors!$B$32*'Success Data'!AB33</f>
        <v>1969073.3462041765</v>
      </c>
      <c r="G35" s="139">
        <f>WeightingFactors!$B$27*WeightingFactors!$B$32*'Success Data'!AN33</f>
        <v>576102.85500695242</v>
      </c>
      <c r="H35" s="139">
        <f>WeightingFactors!$B$28*WeightingFactors!$B$32*'Success Data'!AH33</f>
        <v>1429887.4606647734</v>
      </c>
      <c r="I35" s="151"/>
      <c r="J35" s="139">
        <f>WeightingFactors!$B$35*WeightingFactors!$B$45*'Combo Data'!B34</f>
        <v>896446.71627224167</v>
      </c>
      <c r="K35" s="139">
        <f>WeightingFactors!$B$36*WeightingFactors!$B$45*'Combo Data'!C34</f>
        <v>319264.31984971667</v>
      </c>
      <c r="L35" s="139">
        <f>WeightingFactors!$B$37*WeightingFactors!$B$45*'Combo Data'!D34</f>
        <v>616100.98086701531</v>
      </c>
      <c r="M35" s="139">
        <f>WeightingFactors!$B$38*WeightingFactors!$B$45*'Combo Data'!E34</f>
        <v>544200.54519838071</v>
      </c>
      <c r="N35" s="139">
        <f>WeightingFactors!$B$39*WeightingFactors!$B$45*'Combo Data'!F34</f>
        <v>515506.33463337517</v>
      </c>
      <c r="O35" s="139">
        <f>WeightingFactors!$B$40*WeightingFactors!$B$45*'Combo Data'!G34</f>
        <v>109499.74606415903</v>
      </c>
      <c r="P35" s="139">
        <f>WeightingFactors!$B$41*WeightingFactors!$B$45*'Combo Data'!H34</f>
        <v>181400.18173279357</v>
      </c>
      <c r="Q35" s="198"/>
      <c r="R35" s="142">
        <f t="shared" si="0"/>
        <v>14025311.364742154</v>
      </c>
    </row>
    <row r="36" spans="1:18" ht="15.5" x14ac:dyDescent="0.35">
      <c r="A36" s="54" t="s">
        <v>189</v>
      </c>
      <c r="B36" s="139">
        <f>WeightingFactors!$B$22*WeightingFactors!$B$32*'Success Data'!D34</f>
        <v>958645.32520760782</v>
      </c>
      <c r="C36" s="139">
        <f>WeightingFactors!$B$23*WeightingFactors!$B$32*'Success Data'!J34</f>
        <v>986457.01696535677</v>
      </c>
      <c r="D36" s="139">
        <f>WeightingFactors!$B$24*WeightingFactors!$B$32*'Success Data'!P34</f>
        <v>238325.12815149772</v>
      </c>
      <c r="E36" s="139">
        <f>WeightingFactors!$B$25*WeightingFactors!$B$32*'Success Data'!V34</f>
        <v>742246.28438326111</v>
      </c>
      <c r="F36" s="139">
        <f>WeightingFactors!$B$26*WeightingFactors!$B$32*'Success Data'!AB34</f>
        <v>771765.71122927056</v>
      </c>
      <c r="G36" s="139">
        <f>WeightingFactors!$B$27*WeightingFactors!$B$32*'Success Data'!AN34</f>
        <v>157596.52568579247</v>
      </c>
      <c r="H36" s="139">
        <f>WeightingFactors!$B$28*WeightingFactors!$B$32*'Success Data'!AH34</f>
        <v>1839574.3173720962</v>
      </c>
      <c r="I36" s="151"/>
      <c r="J36" s="139">
        <f>WeightingFactors!$B$35*WeightingFactors!$B$45*'Combo Data'!B35</f>
        <v>342351.61570661771</v>
      </c>
      <c r="K36" s="139">
        <f>WeightingFactors!$B$36*WeightingFactors!$B$45*'Combo Data'!C35</f>
        <v>353565.44512282679</v>
      </c>
      <c r="L36" s="139">
        <f>WeightingFactors!$B$37*WeightingFactors!$B$45*'Combo Data'!D35</f>
        <v>43536.043615870462</v>
      </c>
      <c r="M36" s="139">
        <f>WeightingFactors!$B$38*WeightingFactors!$B$45*'Combo Data'!E35</f>
        <v>176123.08553693051</v>
      </c>
      <c r="N36" s="139">
        <f>WeightingFactors!$B$39*WeightingFactors!$B$45*'Combo Data'!F35</f>
        <v>215701.30700590363</v>
      </c>
      <c r="O36" s="139">
        <f>WeightingFactors!$B$40*WeightingFactors!$B$45*'Combo Data'!G35</f>
        <v>29024.029077246974</v>
      </c>
      <c r="P36" s="139">
        <f>WeightingFactors!$B$41*WeightingFactors!$B$45*'Combo Data'!H35</f>
        <v>125331.0346517483</v>
      </c>
      <c r="Q36" s="198"/>
      <c r="R36" s="142">
        <f t="shared" si="0"/>
        <v>6980242.8697120268</v>
      </c>
    </row>
    <row r="37" spans="1:18" ht="15.5" x14ac:dyDescent="0.35">
      <c r="A37" s="54" t="s">
        <v>190</v>
      </c>
      <c r="B37" s="139">
        <f>WeightingFactors!$B$22*WeightingFactors!$B$32*'Success Data'!D35</f>
        <v>4415812.2591176527</v>
      </c>
      <c r="C37" s="139">
        <f>WeightingFactors!$B$23*WeightingFactors!$B$32*'Success Data'!J35</f>
        <v>1924758.0554762769</v>
      </c>
      <c r="D37" s="139">
        <f>WeightingFactors!$B$24*WeightingFactors!$B$32*'Success Data'!P35</f>
        <v>977957.1225625783</v>
      </c>
      <c r="E37" s="139">
        <f>WeightingFactors!$B$25*WeightingFactors!$B$32*'Success Data'!V35</f>
        <v>4497139.2524397587</v>
      </c>
      <c r="F37" s="139">
        <f>WeightingFactors!$B$26*WeightingFactors!$B$32*'Success Data'!AB35</f>
        <v>3320836.8206302072</v>
      </c>
      <c r="G37" s="139">
        <f>WeightingFactors!$B$27*WeightingFactors!$B$32*'Success Data'!AN35</f>
        <v>644394.6828041292</v>
      </c>
      <c r="H37" s="139">
        <f>WeightingFactors!$B$28*WeightingFactors!$B$32*'Success Data'!AH35</f>
        <v>2534881.6406291863</v>
      </c>
      <c r="I37" s="151"/>
      <c r="J37" s="139">
        <f>WeightingFactors!$B$35*WeightingFactors!$B$45*'Combo Data'!B36</f>
        <v>2002658.006330041</v>
      </c>
      <c r="K37" s="139">
        <f>WeightingFactors!$B$36*WeightingFactors!$B$45*'Combo Data'!C36</f>
        <v>825865.55465257296</v>
      </c>
      <c r="L37" s="139">
        <f>WeightingFactors!$B$37*WeightingFactors!$B$45*'Combo Data'!D36</f>
        <v>445914.62855043076</v>
      </c>
      <c r="M37" s="139">
        <f>WeightingFactors!$B$38*WeightingFactors!$B$45*'Combo Data'!E36</f>
        <v>1757932.6702468905</v>
      </c>
      <c r="N37" s="139">
        <f>WeightingFactors!$B$39*WeightingFactors!$B$45*'Combo Data'!F36</f>
        <v>1101264.0123741778</v>
      </c>
      <c r="O37" s="139">
        <f>WeightingFactors!$B$40*WeightingFactors!$B$45*'Combo Data'!G36</f>
        <v>146439.41943520063</v>
      </c>
      <c r="P37" s="139">
        <f>WeightingFactors!$B$41*WeightingFactors!$B$45*'Combo Data'!H36</f>
        <v>614122.0697935666</v>
      </c>
      <c r="Q37" s="198"/>
      <c r="R37" s="142">
        <f t="shared" si="0"/>
        <v>25209976.195042666</v>
      </c>
    </row>
    <row r="38" spans="1:18" ht="15.5" x14ac:dyDescent="0.35">
      <c r="A38" s="54" t="s">
        <v>191</v>
      </c>
      <c r="B38" s="139">
        <f>WeightingFactors!$B$22*WeightingFactors!$B$32*'Success Data'!D36</f>
        <v>4425513.5053183017</v>
      </c>
      <c r="C38" s="139">
        <f>WeightingFactors!$B$23*WeightingFactors!$B$32*'Success Data'!J36</f>
        <v>1227009.6178505358</v>
      </c>
      <c r="D38" s="139">
        <f>WeightingFactors!$B$24*WeightingFactors!$B$32*'Success Data'!P36</f>
        <v>215912.44436552102</v>
      </c>
      <c r="E38" s="139">
        <f>WeightingFactors!$B$25*WeightingFactors!$B$32*'Success Data'!V36</f>
        <v>1196326.3642412561</v>
      </c>
      <c r="F38" s="139">
        <f>WeightingFactors!$B$26*WeightingFactors!$B$32*'Success Data'!AB36</f>
        <v>1329550.4732666579</v>
      </c>
      <c r="G38" s="139">
        <f>WeightingFactors!$B$27*WeightingFactors!$B$32*'Success Data'!AN36</f>
        <v>609373.23265173088</v>
      </c>
      <c r="H38" s="139">
        <f>WeightingFactors!$B$28*WeightingFactors!$B$32*'Success Data'!AH36</f>
        <v>1419176.693169157</v>
      </c>
      <c r="I38" s="151"/>
      <c r="J38" s="139">
        <f>WeightingFactors!$B$35*WeightingFactors!$B$45*'Combo Data'!B37</f>
        <v>2105561.3821493713</v>
      </c>
      <c r="K38" s="139">
        <f>WeightingFactors!$B$36*WeightingFactors!$B$45*'Combo Data'!C37</f>
        <v>540902.36007596634</v>
      </c>
      <c r="L38" s="139">
        <f>WeightingFactors!$B$37*WeightingFactors!$B$45*'Combo Data'!D37</f>
        <v>108180.47201519326</v>
      </c>
      <c r="M38" s="139">
        <f>WeightingFactors!$B$38*WeightingFactors!$B$45*'Combo Data'!E37</f>
        <v>524411.43446389423</v>
      </c>
      <c r="N38" s="139">
        <f>WeightingFactors!$B$39*WeightingFactors!$B$45*'Combo Data'!F37</f>
        <v>602578.42186511611</v>
      </c>
      <c r="O38" s="139">
        <f>WeightingFactors!$B$40*WeightingFactors!$B$45*'Combo Data'!G37</f>
        <v>204487.47758969458</v>
      </c>
      <c r="P38" s="139">
        <f>WeightingFactors!$B$41*WeightingFactors!$B$45*'Combo Data'!H37</f>
        <v>420188.78459559823</v>
      </c>
      <c r="Q38" s="198"/>
      <c r="R38" s="142">
        <f t="shared" si="0"/>
        <v>14929172.663617993</v>
      </c>
    </row>
    <row r="39" spans="1:18" ht="15.5" x14ac:dyDescent="0.35">
      <c r="A39" s="54" t="s">
        <v>192</v>
      </c>
      <c r="B39" s="139">
        <f>WeightingFactors!$B$22*WeightingFactors!$B$32*'Success Data'!D37</f>
        <v>1356293.1019827798</v>
      </c>
      <c r="C39" s="139">
        <f>WeightingFactors!$B$23*WeightingFactors!$B$32*'Success Data'!J37</f>
        <v>817687.85580336733</v>
      </c>
      <c r="D39" s="139">
        <f>WeightingFactors!$B$24*WeightingFactors!$B$32*'Success Data'!P37</f>
        <v>720643.50727468578</v>
      </c>
      <c r="E39" s="139">
        <f>WeightingFactors!$B$25*WeightingFactors!$B$32*'Success Data'!V37</f>
        <v>753598.286379711</v>
      </c>
      <c r="F39" s="139">
        <f>WeightingFactors!$B$26*WeightingFactors!$B$32*'Success Data'!AB37</f>
        <v>691970.89527181047</v>
      </c>
      <c r="G39" s="139">
        <f>WeightingFactors!$B$27*WeightingFactors!$B$32*'Success Data'!AN37</f>
        <v>301184.47131062561</v>
      </c>
      <c r="H39" s="139">
        <f>WeightingFactors!$B$28*WeightingFactors!$B$32*'Success Data'!AH37</f>
        <v>1023770.8597893228</v>
      </c>
      <c r="I39" s="151"/>
      <c r="J39" s="139">
        <f>WeightingFactors!$B$35*WeightingFactors!$B$45*'Combo Data'!B38</f>
        <v>486812.12406836968</v>
      </c>
      <c r="K39" s="139">
        <f>WeightingFactors!$B$36*WeightingFactors!$B$45*'Combo Data'!C38</f>
        <v>287601.74267453817</v>
      </c>
      <c r="L39" s="139">
        <f>WeightingFactors!$B$37*WeightingFactors!$B$45*'Combo Data'!D38</f>
        <v>234830.78071590731</v>
      </c>
      <c r="M39" s="139">
        <f>WeightingFactors!$B$38*WeightingFactors!$B$45*'Combo Data'!E38</f>
        <v>203168.20354072881</v>
      </c>
      <c r="N39" s="139">
        <f>WeightingFactors!$B$39*WeightingFactors!$B$45*'Combo Data'!F38</f>
        <v>202838.38502848736</v>
      </c>
      <c r="O39" s="139">
        <f>WeightingFactors!$B$40*WeightingFactors!$B$45*'Combo Data'!G38</f>
        <v>58048.058154493949</v>
      </c>
      <c r="P39" s="139">
        <f>WeightingFactors!$B$41*WeightingFactors!$B$45*'Combo Data'!H38</f>
        <v>147758.6934841664</v>
      </c>
      <c r="Q39" s="198"/>
      <c r="R39" s="142">
        <f t="shared" si="0"/>
        <v>7286206.965478994</v>
      </c>
    </row>
    <row r="40" spans="1:18" ht="15.5" x14ac:dyDescent="0.35">
      <c r="A40" s="54" t="s">
        <v>193</v>
      </c>
      <c r="B40" s="139">
        <f>WeightingFactors!$B$22*WeightingFactors!$B$32*'Success Data'!D38</f>
        <v>4885527.5073535573</v>
      </c>
      <c r="C40" s="139">
        <f>WeightingFactors!$B$23*WeightingFactors!$B$32*'Success Data'!J38</f>
        <v>4951398.6765142856</v>
      </c>
      <c r="D40" s="139">
        <f>WeightingFactors!$B$24*WeightingFactors!$B$32*'Success Data'!P38</f>
        <v>1561478.3398950521</v>
      </c>
      <c r="E40" s="139">
        <f>WeightingFactors!$B$25*WeightingFactors!$B$32*'Success Data'!V38</f>
        <v>4298042.6020404836</v>
      </c>
      <c r="F40" s="139">
        <f>WeightingFactors!$B$26*WeightingFactors!$B$32*'Success Data'!AB38</f>
        <v>4563331.8635112727</v>
      </c>
      <c r="G40" s="139">
        <f>WeightingFactors!$B$27*WeightingFactors!$B$32*'Success Data'!AN38</f>
        <v>1192480.377689163</v>
      </c>
      <c r="H40" s="139">
        <f>WeightingFactors!$B$28*WeightingFactors!$B$32*'Success Data'!AH38</f>
        <v>3569363.2679141252</v>
      </c>
      <c r="I40" s="151"/>
      <c r="J40" s="139">
        <f>WeightingFactors!$B$35*WeightingFactors!$B$45*'Combo Data'!B39</f>
        <v>2010573.6506238356</v>
      </c>
      <c r="K40" s="139">
        <f>WeightingFactors!$B$36*WeightingFactors!$B$45*'Combo Data'!C39</f>
        <v>1804766.8989851754</v>
      </c>
      <c r="L40" s="139">
        <f>WeightingFactors!$B$37*WeightingFactors!$B$45*'Combo Data'!D39</f>
        <v>511878.33099871932</v>
      </c>
      <c r="M40" s="139">
        <f>WeightingFactors!$B$38*WeightingFactors!$B$45*'Combo Data'!E39</f>
        <v>1402388.3140506151</v>
      </c>
      <c r="N40" s="139">
        <f>WeightingFactors!$B$39*WeightingFactors!$B$45*'Combo Data'!F39</f>
        <v>1230882.6876850647</v>
      </c>
      <c r="O40" s="139">
        <f>WeightingFactors!$B$40*WeightingFactors!$B$45*'Combo Data'!G39</f>
        <v>310029.40150695632</v>
      </c>
      <c r="P40" s="139">
        <f>WeightingFactors!$B$41*WeightingFactors!$B$45*'Combo Data'!H39</f>
        <v>433381.52508525591</v>
      </c>
      <c r="Q40" s="198"/>
      <c r="R40" s="142">
        <f t="shared" si="0"/>
        <v>32725523.443853561</v>
      </c>
    </row>
    <row r="41" spans="1:18" ht="15.5" x14ac:dyDescent="0.35">
      <c r="A41" s="54" t="s">
        <v>194</v>
      </c>
      <c r="B41" s="139">
        <f>WeightingFactors!$B$22*WeightingFactors!$B$32*'Success Data'!D39</f>
        <v>2000539.0238311172</v>
      </c>
      <c r="C41" s="139">
        <f>WeightingFactors!$B$23*WeightingFactors!$B$32*'Success Data'!J39</f>
        <v>969122.37958468962</v>
      </c>
      <c r="D41" s="139">
        <f>WeightingFactors!$B$24*WeightingFactors!$B$32*'Success Data'!P39</f>
        <v>77168.984239175654</v>
      </c>
      <c r="E41" s="139">
        <f>WeightingFactors!$B$25*WeightingFactors!$B$32*'Success Data'!V39</f>
        <v>879343.53926346358</v>
      </c>
      <c r="F41" s="139">
        <f>WeightingFactors!$B$26*WeightingFactors!$B$32*'Success Data'!AB39</f>
        <v>1242462.5646820744</v>
      </c>
      <c r="G41" s="139">
        <f>WeightingFactors!$B$27*WeightingFactors!$B$32*'Success Data'!AN39</f>
        <v>383484.87916876166</v>
      </c>
      <c r="H41" s="139">
        <f>WeightingFactors!$B$28*WeightingFactors!$B$32*'Success Data'!AH39</f>
        <v>1637854.8628713228</v>
      </c>
      <c r="I41" s="151"/>
      <c r="J41" s="139">
        <f>WeightingFactors!$B$35*WeightingFactors!$B$45*'Combo Data'!B40</f>
        <v>560031.83378597</v>
      </c>
      <c r="K41" s="139">
        <f>WeightingFactors!$B$36*WeightingFactors!$B$45*'Combo Data'!C40</f>
        <v>274409.00218488049</v>
      </c>
      <c r="L41" s="139">
        <f>WeightingFactors!$B$37*WeightingFactors!$B$45*'Combo Data'!D40</f>
        <v>11873.466440691944</v>
      </c>
      <c r="M41" s="139">
        <f>WeightingFactors!$B$38*WeightingFactors!$B$45*'Combo Data'!E40</f>
        <v>185358.00387969089</v>
      </c>
      <c r="N41" s="139">
        <f>WeightingFactors!$B$39*WeightingFactors!$B$45*'Combo Data'!F40</f>
        <v>325530.87158230413</v>
      </c>
      <c r="O41" s="139">
        <f>WeightingFactors!$B$40*WeightingFactors!$B$45*'Combo Data'!G40</f>
        <v>65963.702448288575</v>
      </c>
      <c r="P41" s="139">
        <f>WeightingFactors!$B$41*WeightingFactors!$B$45*'Combo Data'!H40</f>
        <v>98285.916647949984</v>
      </c>
      <c r="Q41" s="198"/>
      <c r="R41" s="142">
        <f t="shared" si="0"/>
        <v>8711429.0306103788</v>
      </c>
    </row>
    <row r="42" spans="1:18" ht="15.5" x14ac:dyDescent="0.35">
      <c r="A42" s="54" t="s">
        <v>195</v>
      </c>
      <c r="B42" s="139">
        <f>WeightingFactors!$B$22*WeightingFactors!$B$32*'Success Data'!D40</f>
        <v>369942.32534895651</v>
      </c>
      <c r="C42" s="139">
        <f>WeightingFactors!$B$23*WeightingFactors!$B$32*'Success Data'!J40</f>
        <v>52444.604801072208</v>
      </c>
      <c r="D42" s="139">
        <f>WeightingFactors!$B$24*WeightingFactors!$B$32*'Success Data'!P40</f>
        <v>95221.234742184533</v>
      </c>
      <c r="E42" s="139">
        <f>WeightingFactors!$B$25*WeightingFactors!$B$32*'Success Data'!V40</f>
        <v>507347.16614902904</v>
      </c>
      <c r="F42" s="139">
        <f>WeightingFactors!$B$26*WeightingFactors!$B$32*'Success Data'!AB40</f>
        <v>57196.501835181989</v>
      </c>
      <c r="G42" s="139">
        <f>WeightingFactors!$B$27*WeightingFactors!$B$32*'Success Data'!AN40</f>
        <v>5253.2175228597489</v>
      </c>
      <c r="H42" s="139">
        <f>WeightingFactors!$B$28*WeightingFactors!$B$32*'Success Data'!AH40</f>
        <v>564100.42143579072</v>
      </c>
      <c r="I42" s="151"/>
      <c r="J42" s="139">
        <f>WeightingFactors!$B$35*WeightingFactors!$B$45*'Combo Data'!B41</f>
        <v>71240.798644151655</v>
      </c>
      <c r="K42" s="139">
        <f>WeightingFactors!$B$36*WeightingFactors!$B$45*'Combo Data'!C41</f>
        <v>10554.192391726172</v>
      </c>
      <c r="L42" s="139">
        <f>WeightingFactors!$B$37*WeightingFactors!$B$45*'Combo Data'!D41</f>
        <v>32981.851224144288</v>
      </c>
      <c r="M42" s="139">
        <f>WeightingFactors!$B$38*WeightingFactors!$B$45*'Combo Data'!E41</f>
        <v>63984.791374839915</v>
      </c>
      <c r="N42" s="139">
        <f>WeightingFactors!$B$39*WeightingFactors!$B$45*'Combo Data'!F41</f>
        <v>19789.11073448657</v>
      </c>
      <c r="O42" s="139">
        <f>WeightingFactors!$B$40*WeightingFactors!$B$45*'Combo Data'!G41</f>
        <v>3957.8221468973143</v>
      </c>
      <c r="P42" s="139">
        <f>WeightingFactors!$B$41*WeightingFactors!$B$45*'Combo Data'!H41</f>
        <v>28364.392052764088</v>
      </c>
      <c r="Q42" s="198"/>
      <c r="R42" s="142">
        <f t="shared" si="0"/>
        <v>1882378.4304040845</v>
      </c>
    </row>
    <row r="43" spans="1:18" ht="15.5" x14ac:dyDescent="0.35">
      <c r="A43" s="54" t="s">
        <v>196</v>
      </c>
      <c r="B43" s="139">
        <f>WeightingFactors!$B$22*WeightingFactors!$B$32*'Success Data'!D41</f>
        <v>4132720.7881845292</v>
      </c>
      <c r="C43" s="139">
        <f>WeightingFactors!$B$23*WeightingFactors!$B$32*'Success Data'!J41</f>
        <v>1128465.8488947635</v>
      </c>
      <c r="D43" s="139">
        <f>WeightingFactors!$B$24*WeightingFactors!$B$32*'Success Data'!P41</f>
        <v>2865184.5498571945</v>
      </c>
      <c r="E43" s="139">
        <f>WeightingFactors!$B$25*WeightingFactors!$B$32*'Success Data'!V41</f>
        <v>2948900.8263085564</v>
      </c>
      <c r="F43" s="139">
        <f>WeightingFactors!$B$26*WeightingFactors!$B$32*'Success Data'!AB41</f>
        <v>2272861.201326</v>
      </c>
      <c r="G43" s="139">
        <f>WeightingFactors!$B$27*WeightingFactors!$B$32*'Success Data'!AN41</f>
        <v>393991.31421448116</v>
      </c>
      <c r="H43" s="139">
        <f>WeightingFactors!$B$28*WeightingFactors!$B$32*'Success Data'!AH41</f>
        <v>2143046.063081224</v>
      </c>
      <c r="I43" s="151"/>
      <c r="J43" s="139">
        <f>WeightingFactors!$B$35*WeightingFactors!$B$45*'Combo Data'!B42</f>
        <v>1369406.4628264708</v>
      </c>
      <c r="K43" s="139">
        <f>WeightingFactors!$B$36*WeightingFactors!$B$45*'Combo Data'!C42</f>
        <v>350926.89702489524</v>
      </c>
      <c r="L43" s="139">
        <f>WeightingFactors!$B$37*WeightingFactors!$B$45*'Combo Data'!D42</f>
        <v>775733.14079187368</v>
      </c>
      <c r="M43" s="139">
        <f>WeightingFactors!$B$38*WeightingFactors!$B$45*'Combo Data'!E42</f>
        <v>599610.0552549432</v>
      </c>
      <c r="N43" s="139">
        <f>WeightingFactors!$B$39*WeightingFactors!$B$45*'Combo Data'!F42</f>
        <v>602578.42186511611</v>
      </c>
      <c r="O43" s="139">
        <f>WeightingFactors!$B$40*WeightingFactors!$B$45*'Combo Data'!G42</f>
        <v>71240.798644151655</v>
      </c>
      <c r="P43" s="139">
        <f>WeightingFactors!$B$41*WeightingFactors!$B$45*'Combo Data'!H42</f>
        <v>268472.26896453451</v>
      </c>
      <c r="Q43" s="198"/>
      <c r="R43" s="142">
        <f t="shared" si="0"/>
        <v>19923138.637238733</v>
      </c>
    </row>
    <row r="44" spans="1:18" ht="15.5" x14ac:dyDescent="0.35">
      <c r="A44" s="54" t="s">
        <v>197</v>
      </c>
      <c r="B44" s="139">
        <f>WeightingFactors!$B$22*WeightingFactors!$B$32*'Success Data'!D42</f>
        <v>9217560.1180903893</v>
      </c>
      <c r="C44" s="139">
        <f>WeightingFactors!$B$23*WeightingFactors!$B$32*'Success Data'!J42</f>
        <v>3957067.0485692834</v>
      </c>
      <c r="D44" s="139">
        <f>WeightingFactors!$B$24*WeightingFactors!$B$32*'Success Data'!P42</f>
        <v>894781.31889452832</v>
      </c>
      <c r="E44" s="139">
        <f>WeightingFactors!$B$25*WeightingFactors!$B$32*'Success Data'!V42</f>
        <v>2838873.7300352729</v>
      </c>
      <c r="F44" s="139">
        <f>WeightingFactors!$B$26*WeightingFactors!$B$32*'Success Data'!AB42</f>
        <v>3409836.4045444084</v>
      </c>
      <c r="G44" s="139">
        <f>WeightingFactors!$B$27*WeightingFactors!$B$32*'Success Data'!AN42</f>
        <v>1197733.5952120228</v>
      </c>
      <c r="H44" s="139">
        <f>WeightingFactors!$B$28*WeightingFactors!$B$32*'Success Data'!AH42</f>
        <v>1996665.5739744683</v>
      </c>
      <c r="I44" s="151"/>
      <c r="J44" s="139">
        <f>WeightingFactors!$B$35*WeightingFactors!$B$45*'Combo Data'!B43</f>
        <v>3472988.9339023931</v>
      </c>
      <c r="K44" s="139">
        <f>WeightingFactors!$B$36*WeightingFactors!$B$45*'Combo Data'!C43</f>
        <v>1709779.16745964</v>
      </c>
      <c r="L44" s="139">
        <f>WeightingFactors!$B$37*WeightingFactors!$B$45*'Combo Data'!D43</f>
        <v>279686.09838074358</v>
      </c>
      <c r="M44" s="139">
        <f>WeightingFactors!$B$38*WeightingFactors!$B$45*'Combo Data'!E43</f>
        <v>990774.81077329442</v>
      </c>
      <c r="N44" s="139">
        <f>WeightingFactors!$B$39*WeightingFactors!$B$45*'Combo Data'!F43</f>
        <v>1416900.3285892385</v>
      </c>
      <c r="O44" s="139">
        <f>WeightingFactors!$B$40*WeightingFactors!$B$45*'Combo Data'!G43</f>
        <v>360161.8153676556</v>
      </c>
      <c r="P44" s="139">
        <f>WeightingFactors!$B$41*WeightingFactors!$B$45*'Combo Data'!H43</f>
        <v>392484.02956731705</v>
      </c>
      <c r="Q44" s="198"/>
      <c r="R44" s="142">
        <f t="shared" si="0"/>
        <v>32135292.973360654</v>
      </c>
    </row>
    <row r="45" spans="1:18" ht="15.5" x14ac:dyDescent="0.35">
      <c r="A45" s="54" t="s">
        <v>198</v>
      </c>
      <c r="B45" s="139">
        <f>WeightingFactors!$B$22*WeightingFactors!$B$32*'Success Data'!D43</f>
        <v>3362637.7892032596</v>
      </c>
      <c r="C45" s="139">
        <f>WeightingFactors!$B$23*WeightingFactors!$B$32*'Success Data'!J43</f>
        <v>1901015.0792464577</v>
      </c>
      <c r="D45" s="139">
        <f>WeightingFactors!$B$24*WeightingFactors!$B$32*'Success Data'!P43</f>
        <v>2468946.5793655994</v>
      </c>
      <c r="E45" s="139">
        <f>WeightingFactors!$B$25*WeightingFactors!$B$32*'Success Data'!V43</f>
        <v>2584763.5314993565</v>
      </c>
      <c r="F45" s="139">
        <f>WeightingFactors!$B$26*WeightingFactors!$B$32*'Success Data'!AB43</f>
        <v>2034275.0887433738</v>
      </c>
      <c r="G45" s="139">
        <f>WeightingFactors!$B$27*WeightingFactors!$B$32*'Success Data'!AN43</f>
        <v>478042.79458023713</v>
      </c>
      <c r="H45" s="139">
        <f>WeightingFactors!$B$28*WeightingFactors!$B$32*'Success Data'!AH43</f>
        <v>3644338.6403834391</v>
      </c>
      <c r="I45" s="151"/>
      <c r="J45" s="139">
        <f>WeightingFactors!$B$35*WeightingFactors!$B$45*'Combo Data'!B44</f>
        <v>1595002.3251996175</v>
      </c>
      <c r="K45" s="139">
        <f>WeightingFactors!$B$36*WeightingFactors!$B$45*'Combo Data'!C44</f>
        <v>796841.52557532594</v>
      </c>
      <c r="L45" s="139">
        <f>WeightingFactors!$B$37*WeightingFactors!$B$45*'Combo Data'!D44</f>
        <v>899744.90139465616</v>
      </c>
      <c r="M45" s="139">
        <f>WeightingFactors!$B$38*WeightingFactors!$B$45*'Combo Data'!E44</f>
        <v>902383.44949258771</v>
      </c>
      <c r="N45" s="139">
        <f>WeightingFactors!$B$39*WeightingFactors!$B$45*'Combo Data'!F44</f>
        <v>879625.97214792809</v>
      </c>
      <c r="O45" s="139">
        <f>WeightingFactors!$B$40*WeightingFactors!$B$45*'Combo Data'!G44</f>
        <v>101584.1017703644</v>
      </c>
      <c r="P45" s="139">
        <f>WeightingFactors!$B$41*WeightingFactors!$B$45*'Combo Data'!H44</f>
        <v>426125.51781594421</v>
      </c>
      <c r="Q45" s="198"/>
      <c r="R45" s="142">
        <f t="shared" si="0"/>
        <v>22075327.296418149</v>
      </c>
    </row>
    <row r="46" spans="1:18" ht="15.5" x14ac:dyDescent="0.35">
      <c r="A46" s="54" t="s">
        <v>199</v>
      </c>
      <c r="B46" s="139">
        <f>WeightingFactors!$B$22*WeightingFactors!$B$32*'Success Data'!D44</f>
        <v>8203126.5756733175</v>
      </c>
      <c r="C46" s="139">
        <f>WeightingFactors!$B$23*WeightingFactors!$B$32*'Success Data'!J44</f>
        <v>3970786.4065708858</v>
      </c>
      <c r="D46" s="139">
        <f>WeightingFactors!$B$24*WeightingFactors!$B$32*'Success Data'!P44</f>
        <v>5011295.6083989162</v>
      </c>
      <c r="E46" s="139">
        <f>WeightingFactors!$B$25*WeightingFactors!$B$32*'Success Data'!V44</f>
        <v>3284221.5006652293</v>
      </c>
      <c r="F46" s="139">
        <f>WeightingFactors!$B$26*WeightingFactors!$B$32*'Success Data'!AB44</f>
        <v>3065736.4260858628</v>
      </c>
      <c r="G46" s="139">
        <f>WeightingFactors!$B$27*WeightingFactors!$B$32*'Success Data'!AN44</f>
        <v>1101424.6072929273</v>
      </c>
      <c r="H46" s="139">
        <f>WeightingFactors!$B$28*WeightingFactors!$B$32*'Success Data'!AH44</f>
        <v>7393999.8278071061</v>
      </c>
      <c r="I46" s="151"/>
      <c r="J46" s="139">
        <f>WeightingFactors!$B$35*WeightingFactors!$B$45*'Combo Data'!B45</f>
        <v>2667572.1270087897</v>
      </c>
      <c r="K46" s="139">
        <f>WeightingFactors!$B$36*WeightingFactors!$B$45*'Combo Data'!C45</f>
        <v>1308719.8565740453</v>
      </c>
      <c r="L46" s="139">
        <f>WeightingFactors!$B$37*WeightingFactors!$B$45*'Combo Data'!D45</f>
        <v>1481544.7569885615</v>
      </c>
      <c r="M46" s="139">
        <f>WeightingFactors!$B$38*WeightingFactors!$B$45*'Combo Data'!E45</f>
        <v>715706.17156393104</v>
      </c>
      <c r="N46" s="139">
        <f>WeightingFactors!$B$39*WeightingFactors!$B$45*'Combo Data'!F45</f>
        <v>727249.81949238153</v>
      </c>
      <c r="O46" s="139">
        <f>WeightingFactors!$B$40*WeightingFactors!$B$45*'Combo Data'!G45</f>
        <v>336414.88248627173</v>
      </c>
      <c r="P46" s="139">
        <f>WeightingFactors!$B$41*WeightingFactors!$B$45*'Combo Data'!H45</f>
        <v>297496.29804178147</v>
      </c>
      <c r="Q46" s="198"/>
      <c r="R46" s="142">
        <f t="shared" si="0"/>
        <v>39565294.864650011</v>
      </c>
    </row>
    <row r="47" spans="1:18" ht="15.5" x14ac:dyDescent="0.35">
      <c r="A47" s="54" t="s">
        <v>200</v>
      </c>
      <c r="B47" s="139">
        <f>WeightingFactors!$B$22*WeightingFactors!$B$32*'Success Data'!D45</f>
        <v>1127896.4525837868</v>
      </c>
      <c r="C47" s="139">
        <f>WeightingFactors!$B$23*WeightingFactors!$B$32*'Success Data'!J45</f>
        <v>232254.67840474832</v>
      </c>
      <c r="D47" s="139">
        <f>WeightingFactors!$B$24*WeightingFactors!$B$32*'Success Data'!P45</f>
        <v>322341.89284969214</v>
      </c>
      <c r="E47" s="139">
        <f>WeightingFactors!$B$25*WeightingFactors!$B$32*'Success Data'!V45</f>
        <v>651430.26841166208</v>
      </c>
      <c r="F47" s="139">
        <f>WeightingFactors!$B$26*WeightingFactors!$B$32*'Success Data'!AB45</f>
        <v>416437.84537788748</v>
      </c>
      <c r="G47" s="139">
        <f>WeightingFactors!$B$27*WeightingFactors!$B$32*'Success Data'!AN45</f>
        <v>98060.06042671531</v>
      </c>
      <c r="H47" s="139">
        <f>WeightingFactors!$B$28*WeightingFactors!$B$32*'Success Data'!AH45</f>
        <v>671208.09639195353</v>
      </c>
      <c r="I47" s="151"/>
      <c r="J47" s="139">
        <f>WeightingFactors!$B$35*WeightingFactors!$B$45*'Combo Data'!B46</f>
        <v>579820.94452045648</v>
      </c>
      <c r="K47" s="139">
        <f>WeightingFactors!$B$36*WeightingFactors!$B$45*'Combo Data'!C46</f>
        <v>102903.37581933018</v>
      </c>
      <c r="L47" s="139">
        <f>WeightingFactors!$B$37*WeightingFactors!$B$45*'Combo Data'!D46</f>
        <v>124011.76060278252</v>
      </c>
      <c r="M47" s="139">
        <f>WeightingFactors!$B$38*WeightingFactors!$B$45*'Combo Data'!E46</f>
        <v>284963.19457660662</v>
      </c>
      <c r="N47" s="139">
        <f>WeightingFactors!$B$39*WeightingFactors!$B$45*'Combo Data'!F46</f>
        <v>181070.36322055213</v>
      </c>
      <c r="O47" s="139">
        <f>WeightingFactors!$B$40*WeightingFactors!$B$45*'Combo Data'!G46</f>
        <v>40897.495517938914</v>
      </c>
      <c r="P47" s="139">
        <f>WeightingFactors!$B$41*WeightingFactors!$B$45*'Combo Data'!H46</f>
        <v>177442.35958589628</v>
      </c>
      <c r="Q47" s="198"/>
      <c r="R47" s="142">
        <f t="shared" si="0"/>
        <v>5010738.7882900089</v>
      </c>
    </row>
    <row r="48" spans="1:18" ht="15.5" x14ac:dyDescent="0.35">
      <c r="A48" s="54" t="s">
        <v>201</v>
      </c>
      <c r="B48" s="139">
        <f>WeightingFactors!$B$22*WeightingFactors!$B$32*'Success Data'!D46</f>
        <v>2508874.7476673839</v>
      </c>
      <c r="C48" s="139">
        <f>WeightingFactors!$B$23*WeightingFactors!$B$32*'Success Data'!J46</f>
        <v>2127065.0878696116</v>
      </c>
      <c r="D48" s="139">
        <f>WeightingFactors!$B$24*WeightingFactors!$B$32*'Success Data'!P46</f>
        <v>344871.55890365725</v>
      </c>
      <c r="E48" s="139">
        <f>WeightingFactors!$B$25*WeightingFactors!$B$32*'Success Data'!V46</f>
        <v>1768292.6186777693</v>
      </c>
      <c r="F48" s="139">
        <f>WeightingFactors!$B$26*WeightingFactors!$B$32*'Success Data'!AB46</f>
        <v>1318798.6530680624</v>
      </c>
      <c r="G48" s="139">
        <f>WeightingFactors!$B$27*WeightingFactors!$B$32*'Success Data'!AN46</f>
        <v>175107.25076199163</v>
      </c>
      <c r="H48" s="139">
        <f>WeightingFactors!$B$28*WeightingFactors!$B$32*'Success Data'!AH46</f>
        <v>3051676.1722926716</v>
      </c>
      <c r="I48" s="151"/>
      <c r="J48" s="139">
        <f>WeightingFactors!$B$35*WeightingFactors!$B$45*'Combo Data'!B47</f>
        <v>1215051.3990974755</v>
      </c>
      <c r="K48" s="139">
        <f>WeightingFactors!$B$36*WeightingFactors!$B$45*'Combo Data'!C47</f>
        <v>973624.24813673936</v>
      </c>
      <c r="L48" s="139">
        <f>WeightingFactors!$B$37*WeightingFactors!$B$45*'Combo Data'!D47</f>
        <v>118734.66440691943</v>
      </c>
      <c r="M48" s="139">
        <f>WeightingFactors!$B$38*WeightingFactors!$B$45*'Combo Data'!E47</f>
        <v>705151.97917220485</v>
      </c>
      <c r="N48" s="139">
        <f>WeightingFactors!$B$39*WeightingFactors!$B$45*'Combo Data'!F47</f>
        <v>542221.63412493211</v>
      </c>
      <c r="O48" s="139">
        <f>WeightingFactors!$B$40*WeightingFactors!$B$45*'Combo Data'!G47</f>
        <v>71240.798644151655</v>
      </c>
      <c r="P48" s="139">
        <f>WeightingFactors!$B$41*WeightingFactors!$B$45*'Combo Data'!H47</f>
        <v>426125.51781594421</v>
      </c>
      <c r="Q48" s="198"/>
      <c r="R48" s="142">
        <f t="shared" si="0"/>
        <v>15346836.330639517</v>
      </c>
    </row>
    <row r="49" spans="1:18" ht="15.5" x14ac:dyDescent="0.35">
      <c r="A49" s="54" t="s">
        <v>202</v>
      </c>
      <c r="B49" s="139">
        <f>WeightingFactors!$B$22*WeightingFactors!$B$32*'Success Data'!D47</f>
        <v>9543437.6200502981</v>
      </c>
      <c r="C49" s="139">
        <f>WeightingFactors!$B$23*WeightingFactors!$B$32*'Success Data'!J47</f>
        <v>2155948.5336355334</v>
      </c>
      <c r="D49" s="139">
        <f>WeightingFactors!$B$24*WeightingFactors!$B$32*'Success Data'!P47</f>
        <v>1519561.0503050797</v>
      </c>
      <c r="E49" s="139">
        <f>WeightingFactors!$B$25*WeightingFactors!$B$32*'Success Data'!V47</f>
        <v>3764498.5082073398</v>
      </c>
      <c r="F49" s="139">
        <f>WeightingFactors!$B$26*WeightingFactors!$B$32*'Success Data'!AB47</f>
        <v>2868192.8290311676</v>
      </c>
      <c r="G49" s="139">
        <f>WeightingFactors!$B$27*WeightingFactors!$B$32*'Success Data'!AN47</f>
        <v>658403.26286508853</v>
      </c>
      <c r="H49" s="139">
        <f>WeightingFactors!$B$28*WeightingFactors!$B$32*'Success Data'!AH47</f>
        <v>4183447.2709961254</v>
      </c>
      <c r="I49" s="151"/>
      <c r="J49" s="139">
        <f>WeightingFactors!$B$35*WeightingFactors!$B$45*'Combo Data'!B48</f>
        <v>4363498.9169542892</v>
      </c>
      <c r="K49" s="139">
        <f>WeightingFactors!$B$36*WeightingFactors!$B$45*'Combo Data'!C48</f>
        <v>926130.38237397163</v>
      </c>
      <c r="L49" s="139">
        <f>WeightingFactors!$B$37*WeightingFactors!$B$45*'Combo Data'!D48</f>
        <v>622697.35111184418</v>
      </c>
      <c r="M49" s="139">
        <f>WeightingFactors!$B$38*WeightingFactors!$B$45*'Combo Data'!E48</f>
        <v>1575872.851489614</v>
      </c>
      <c r="N49" s="139">
        <f>WeightingFactors!$B$39*WeightingFactors!$B$45*'Combo Data'!F48</f>
        <v>1269471.4536173136</v>
      </c>
      <c r="O49" s="139">
        <f>WeightingFactors!$B$40*WeightingFactors!$B$45*'Combo Data'!G48</f>
        <v>196571.83329589997</v>
      </c>
      <c r="P49" s="139">
        <f>WeightingFactors!$B$41*WeightingFactors!$B$45*'Combo Data'!H48</f>
        <v>826525.19167705579</v>
      </c>
      <c r="Q49" s="198"/>
      <c r="R49" s="142">
        <f t="shared" si="0"/>
        <v>34474257.055610619</v>
      </c>
    </row>
    <row r="50" spans="1:18" ht="15.5" x14ac:dyDescent="0.35">
      <c r="A50" s="54" t="s">
        <v>203</v>
      </c>
      <c r="B50" s="139">
        <f>WeightingFactors!$B$22*WeightingFactors!$B$32*'Success Data'!D48</f>
        <v>4317719.9495225027</v>
      </c>
      <c r="C50" s="139">
        <f>WeightingFactors!$B$23*WeightingFactors!$B$32*'Success Data'!J48</f>
        <v>1983313.9103741222</v>
      </c>
      <c r="D50" s="139">
        <f>WeightingFactors!$B$24*WeightingFactors!$B$32*'Success Data'!P48</f>
        <v>1149149.5395570295</v>
      </c>
      <c r="E50" s="139">
        <f>WeightingFactors!$B$25*WeightingFactors!$B$32*'Success Data'!V48</f>
        <v>1985727.1184559246</v>
      </c>
      <c r="F50" s="139">
        <f>WeightingFactors!$B$26*WeightingFactors!$B$32*'Success Data'!AB48</f>
        <v>1741588.5100607506</v>
      </c>
      <c r="G50" s="139">
        <f>WeightingFactors!$B$27*WeightingFactors!$B$32*'Success Data'!AN48</f>
        <v>295931.25378776586</v>
      </c>
      <c r="H50" s="139">
        <f>WeightingFactors!$B$28*WeightingFactors!$B$32*'Success Data'!AH48</f>
        <v>2227839.6390881864</v>
      </c>
      <c r="I50" s="151"/>
      <c r="J50" s="139">
        <f>WeightingFactors!$B$35*WeightingFactors!$B$45*'Combo Data'!B49</f>
        <v>1838408.3872338026</v>
      </c>
      <c r="K50" s="139">
        <f>WeightingFactors!$B$36*WeightingFactors!$B$45*'Combo Data'!C49</f>
        <v>870720.87231740914</v>
      </c>
      <c r="L50" s="139">
        <f>WeightingFactors!$B$37*WeightingFactors!$B$45*'Combo Data'!D49</f>
        <v>420848.42162008112</v>
      </c>
      <c r="M50" s="139">
        <f>WeightingFactors!$B$38*WeightingFactors!$B$45*'Combo Data'!E49</f>
        <v>765178.94840014749</v>
      </c>
      <c r="N50" s="139">
        <f>WeightingFactors!$B$39*WeightingFactors!$B$45*'Combo Data'!F49</f>
        <v>698555.60892737599</v>
      </c>
      <c r="O50" s="139">
        <f>WeightingFactors!$B$40*WeightingFactors!$B$45*'Combo Data'!G49</f>
        <v>77837.168888980523</v>
      </c>
      <c r="P50" s="139">
        <f>WeightingFactors!$B$41*WeightingFactors!$B$45*'Combo Data'!H49</f>
        <v>490110.30919078412</v>
      </c>
      <c r="Q50" s="198"/>
      <c r="R50" s="142">
        <f t="shared" si="0"/>
        <v>18862929.63742486</v>
      </c>
    </row>
    <row r="51" spans="1:18" ht="15.5" x14ac:dyDescent="0.35">
      <c r="A51" s="54" t="s">
        <v>204</v>
      </c>
      <c r="B51" s="139">
        <f>WeightingFactors!$B$22*WeightingFactors!$B$32*'Success Data'!D49</f>
        <v>5117857.7614096673</v>
      </c>
      <c r="C51" s="139">
        <f>WeightingFactors!$B$23*WeightingFactors!$B$32*'Success Data'!J49</f>
        <v>5077906.3315452868</v>
      </c>
      <c r="D51" s="139">
        <f>WeightingFactors!$B$24*WeightingFactors!$B$32*'Success Data'!P49</f>
        <v>1985840.9890651158</v>
      </c>
      <c r="E51" s="139">
        <f>WeightingFactors!$B$25*WeightingFactors!$B$32*'Success Data'!V49</f>
        <v>5396567.1029277109</v>
      </c>
      <c r="F51" s="139">
        <f>WeightingFactors!$B$26*WeightingFactors!$B$32*'Success Data'!AB49</f>
        <v>3661770.8369581704</v>
      </c>
      <c r="G51" s="139">
        <f>WeightingFactors!$B$27*WeightingFactors!$B$32*'Success Data'!AN49</f>
        <v>1292291.5106234981</v>
      </c>
      <c r="H51" s="139">
        <f>WeightingFactors!$B$28*WeightingFactors!$B$32*'Success Data'!AH49</f>
        <v>8742663.9682967868</v>
      </c>
      <c r="I51" s="151"/>
      <c r="J51" s="139">
        <f>WeightingFactors!$B$35*WeightingFactors!$B$45*'Combo Data'!B50</f>
        <v>2214401.4911890472</v>
      </c>
      <c r="K51" s="139">
        <f>WeightingFactors!$B$36*WeightingFactors!$B$45*'Combo Data'!C50</f>
        <v>1886561.8900210531</v>
      </c>
      <c r="L51" s="139">
        <f>WeightingFactors!$B$37*WeightingFactors!$B$45*'Combo Data'!D50</f>
        <v>732197.09717600315</v>
      </c>
      <c r="M51" s="139">
        <f>WeightingFactors!$B$38*WeightingFactors!$B$45*'Combo Data'!E50</f>
        <v>1695926.7899454993</v>
      </c>
      <c r="N51" s="139">
        <f>WeightingFactors!$B$39*WeightingFactors!$B$45*'Combo Data'!F50</f>
        <v>1684053.3235048072</v>
      </c>
      <c r="O51" s="139">
        <f>WeightingFactors!$B$40*WeightingFactors!$B$45*'Combo Data'!G50</f>
        <v>356203.99322075833</v>
      </c>
      <c r="P51" s="139">
        <f>WeightingFactors!$B$41*WeightingFactors!$B$45*'Combo Data'!H50</f>
        <v>625335.89920977573</v>
      </c>
      <c r="Q51" s="198"/>
      <c r="R51" s="142">
        <f t="shared" si="0"/>
        <v>40469578.985093184</v>
      </c>
    </row>
    <row r="52" spans="1:18" ht="15.5" x14ac:dyDescent="0.35">
      <c r="A52" s="54" t="s">
        <v>205</v>
      </c>
      <c r="B52" s="139">
        <f>WeightingFactors!$B$22*WeightingFactors!$B$32*'Success Data'!D50</f>
        <v>2937421.8404554548</v>
      </c>
      <c r="C52" s="139">
        <f>WeightingFactors!$B$23*WeightingFactors!$B$32*'Success Data'!J50</f>
        <v>934294.00287901075</v>
      </c>
      <c r="D52" s="139">
        <f>WeightingFactors!$B$24*WeightingFactors!$B$32*'Success Data'!P50</f>
        <v>1421383.7410885317</v>
      </c>
      <c r="E52" s="139">
        <f>WeightingFactors!$B$25*WeightingFactors!$B$32*'Success Data'!V50</f>
        <v>3089491.0048799738</v>
      </c>
      <c r="F52" s="139">
        <f>WeightingFactors!$B$26*WeightingFactors!$B$32*'Success Data'!AB50</f>
        <v>1998497.073355814</v>
      </c>
      <c r="G52" s="139">
        <f>WeightingFactors!$B$27*WeightingFactors!$B$32*'Success Data'!AN50</f>
        <v>374729.51663066208</v>
      </c>
      <c r="H52" s="139">
        <f>WeightingFactors!$B$28*WeightingFactors!$B$32*'Success Data'!AH50</f>
        <v>4413728.7721518753</v>
      </c>
      <c r="I52" s="151"/>
      <c r="J52" s="139">
        <f>WeightingFactors!$B$35*WeightingFactors!$B$45*'Combo Data'!B51</f>
        <v>1159641.889040913</v>
      </c>
      <c r="K52" s="139">
        <f>WeightingFactors!$B$36*WeightingFactors!$B$45*'Combo Data'!C51</f>
        <v>395782.21468973142</v>
      </c>
      <c r="L52" s="139">
        <f>WeightingFactors!$B$37*WeightingFactors!$B$45*'Combo Data'!D51</f>
        <v>447233.90259939653</v>
      </c>
      <c r="M52" s="139">
        <f>WeightingFactors!$B$38*WeightingFactors!$B$45*'Combo Data'!E51</f>
        <v>771115.68162049341</v>
      </c>
      <c r="N52" s="139">
        <f>WeightingFactors!$B$39*WeightingFactors!$B$45*'Combo Data'!F51</f>
        <v>688661.05356013263</v>
      </c>
      <c r="O52" s="139">
        <f>WeightingFactors!$B$40*WeightingFactors!$B$45*'Combo Data'!G51</f>
        <v>105541.92391726172</v>
      </c>
      <c r="P52" s="139">
        <f>WeightingFactors!$B$41*WeightingFactors!$B$45*'Combo Data'!H51</f>
        <v>400399.67386111163</v>
      </c>
      <c r="Q52" s="198"/>
      <c r="R52" s="142">
        <f t="shared" si="0"/>
        <v>19137922.290730365</v>
      </c>
    </row>
    <row r="53" spans="1:18" ht="15.5" x14ac:dyDescent="0.35">
      <c r="A53" s="54" t="s">
        <v>206</v>
      </c>
      <c r="B53" s="139">
        <f>WeightingFactors!$B$22*WeightingFactors!$B$32*'Success Data'!D51</f>
        <v>6805377.3503265362</v>
      </c>
      <c r="C53" s="139">
        <f>WeightingFactors!$B$23*WeightingFactors!$B$32*'Success Data'!J51</f>
        <v>722881.73663887894</v>
      </c>
      <c r="D53" s="139">
        <f>WeightingFactors!$B$24*WeightingFactors!$B$32*'Success Data'!P51</f>
        <v>2435186.381065493</v>
      </c>
      <c r="E53" s="139">
        <f>WeightingFactors!$B$25*WeightingFactors!$B$32*'Success Data'!V51</f>
        <v>3015266.3764416478</v>
      </c>
      <c r="F53" s="139">
        <f>WeightingFactors!$B$26*WeightingFactors!$B$32*'Success Data'!AB51</f>
        <v>1711478.2161876759</v>
      </c>
      <c r="G53" s="139">
        <f>WeightingFactors!$B$27*WeightingFactors!$B$32*'Success Data'!AN51</f>
        <v>318695.19638682477</v>
      </c>
      <c r="H53" s="139">
        <f>WeightingFactors!$B$28*WeightingFactors!$B$32*'Success Data'!AH51</f>
        <v>2110913.7605943754</v>
      </c>
      <c r="I53" s="151"/>
      <c r="J53" s="139">
        <f>WeightingFactors!$B$35*WeightingFactors!$B$45*'Combo Data'!B52</f>
        <v>3116784.9406816349</v>
      </c>
      <c r="K53" s="139">
        <f>WeightingFactors!$B$36*WeightingFactors!$B$45*'Combo Data'!C52</f>
        <v>321902.86794764822</v>
      </c>
      <c r="L53" s="139">
        <f>WeightingFactors!$B$37*WeightingFactors!$B$45*'Combo Data'!D52</f>
        <v>751986.20791048976</v>
      </c>
      <c r="M53" s="139">
        <f>WeightingFactors!$B$38*WeightingFactors!$B$45*'Combo Data'!E52</f>
        <v>1366108.2777040564</v>
      </c>
      <c r="N53" s="139">
        <f>WeightingFactors!$B$39*WeightingFactors!$B$45*'Combo Data'!F52</f>
        <v>616430.79937925667</v>
      </c>
      <c r="O53" s="139">
        <f>WeightingFactors!$B$40*WeightingFactors!$B$45*'Combo Data'!G52</f>
        <v>102903.37581933018</v>
      </c>
      <c r="P53" s="139">
        <f>WeightingFactors!$B$41*WeightingFactors!$B$45*'Combo Data'!H52</f>
        <v>747368.74873910961</v>
      </c>
      <c r="Q53" s="198"/>
      <c r="R53" s="142">
        <f t="shared" si="0"/>
        <v>24143284.235822957</v>
      </c>
    </row>
    <row r="54" spans="1:18" ht="15.5" x14ac:dyDescent="0.35">
      <c r="A54" s="54" t="s">
        <v>207</v>
      </c>
      <c r="B54" s="139">
        <f>WeightingFactors!$B$22*WeightingFactors!$B$32*'Success Data'!D52</f>
        <v>1918199.5016347594</v>
      </c>
      <c r="C54" s="139">
        <f>WeightingFactors!$B$23*WeightingFactors!$B$32*'Success Data'!J52</f>
        <v>1717714.9625990307</v>
      </c>
      <c r="D54" s="139">
        <f>WeightingFactors!$B$24*WeightingFactors!$B$32*'Success Data'!P52</f>
        <v>1243753.326738613</v>
      </c>
      <c r="E54" s="139">
        <f>WeightingFactors!$B$25*WeightingFactors!$B$32*'Success Data'!V52</f>
        <v>1632941.8256431746</v>
      </c>
      <c r="F54" s="139">
        <f>WeightingFactors!$B$26*WeightingFactors!$B$32*'Success Data'!AB52</f>
        <v>1485603.4289254607</v>
      </c>
      <c r="G54" s="139">
        <f>WeightingFactors!$B$27*WeightingFactors!$B$32*'Success Data'!AN52</f>
        <v>367725.22660018242</v>
      </c>
      <c r="H54" s="139">
        <f>WeightingFactors!$B$28*WeightingFactors!$B$32*'Success Data'!AH52</f>
        <v>1948467.1202441948</v>
      </c>
      <c r="I54" s="151"/>
      <c r="J54" s="139">
        <f>WeightingFactors!$B$35*WeightingFactors!$B$45*'Combo Data'!B53</f>
        <v>831142.65084843605</v>
      </c>
      <c r="K54" s="139">
        <f>WeightingFactors!$B$36*WeightingFactors!$B$45*'Combo Data'!C53</f>
        <v>678106.86116840655</v>
      </c>
      <c r="L54" s="139">
        <f>WeightingFactors!$B$37*WeightingFactors!$B$45*'Combo Data'!D53</f>
        <v>390505.11849386839</v>
      </c>
      <c r="M54" s="139">
        <f>WeightingFactors!$B$38*WeightingFactors!$B$45*'Combo Data'!E53</f>
        <v>545519.81924734649</v>
      </c>
      <c r="N54" s="139">
        <f>WeightingFactors!$B$39*WeightingFactors!$B$45*'Combo Data'!F53</f>
        <v>590704.95542442414</v>
      </c>
      <c r="O54" s="139">
        <f>WeightingFactors!$B$40*WeightingFactors!$B$45*'Combo Data'!G53</f>
        <v>96307.005574501323</v>
      </c>
      <c r="P54" s="139">
        <f>WeightingFactors!$B$41*WeightingFactors!$B$45*'Combo Data'!H53</f>
        <v>315966.1347273023</v>
      </c>
      <c r="Q54" s="198"/>
      <c r="R54" s="142">
        <f t="shared" si="0"/>
        <v>13762657.937869702</v>
      </c>
    </row>
    <row r="55" spans="1:18" ht="15.5" x14ac:dyDescent="0.35">
      <c r="A55" s="54" t="s">
        <v>208</v>
      </c>
      <c r="B55" s="139">
        <f>WeightingFactors!$B$22*WeightingFactors!$B$32*'Success Data'!D53</f>
        <v>1773678.2491129132</v>
      </c>
      <c r="C55" s="139">
        <f>WeightingFactors!$B$23*WeightingFactors!$B$32*'Success Data'!J53</f>
        <v>1614587.4780989664</v>
      </c>
      <c r="D55" s="139">
        <f>WeightingFactors!$B$24*WeightingFactors!$B$32*'Success Data'!P53</f>
        <v>564498.76987791492</v>
      </c>
      <c r="E55" s="139">
        <f>WeightingFactors!$B$25*WeightingFactors!$B$32*'Success Data'!V53</f>
        <v>1225142.9846937829</v>
      </c>
      <c r="F55" s="139">
        <f>WeightingFactors!$B$26*WeightingFactors!$B$32*'Success Data'!AB53</f>
        <v>1056395.33697628</v>
      </c>
      <c r="G55" s="139">
        <f>WeightingFactors!$B$27*WeightingFactors!$B$32*'Success Data'!AN53</f>
        <v>290678.03626490611</v>
      </c>
      <c r="H55" s="139">
        <f>WeightingFactors!$B$28*WeightingFactors!$B$32*'Success Data'!AH53</f>
        <v>1093390.8485108286</v>
      </c>
      <c r="I55" s="151"/>
      <c r="J55" s="139">
        <f>WeightingFactors!$B$35*WeightingFactors!$B$45*'Combo Data'!B54</f>
        <v>591694.41096114845</v>
      </c>
      <c r="K55" s="139">
        <f>WeightingFactors!$B$36*WeightingFactors!$B$45*'Combo Data'!C54</f>
        <v>435360.43615870457</v>
      </c>
      <c r="L55" s="139">
        <f>WeightingFactors!$B$37*WeightingFactors!$B$45*'Combo Data'!D54</f>
        <v>207126.02568762613</v>
      </c>
      <c r="M55" s="139">
        <f>WeightingFactors!$B$38*WeightingFactors!$B$45*'Combo Data'!E54</f>
        <v>359502.17834317271</v>
      </c>
      <c r="N55" s="139">
        <f>WeightingFactors!$B$39*WeightingFactors!$B$45*'Combo Data'!F54</f>
        <v>269131.9059890174</v>
      </c>
      <c r="O55" s="139">
        <f>WeightingFactors!$B$40*WeightingFactors!$B$45*'Combo Data'!G54</f>
        <v>48813.139811733548</v>
      </c>
      <c r="P55" s="139">
        <f>WeightingFactors!$B$41*WeightingFactors!$B$45*'Combo Data'!H54</f>
        <v>158312.88587589259</v>
      </c>
      <c r="Q55" s="198"/>
      <c r="R55" s="142">
        <f t="shared" si="0"/>
        <v>9688312.6863628849</v>
      </c>
    </row>
    <row r="56" spans="1:18" ht="15.5" x14ac:dyDescent="0.35">
      <c r="A56" s="54" t="s">
        <v>209</v>
      </c>
      <c r="B56" s="139">
        <f>WeightingFactors!$B$22*WeightingFactors!$B$32*'Success Data'!D54</f>
        <v>3600247.804890417</v>
      </c>
      <c r="C56" s="139">
        <f>WeightingFactors!$B$23*WeightingFactors!$B$32*'Success Data'!J54</f>
        <v>3576280.9635708109</v>
      </c>
      <c r="D56" s="139">
        <f>WeightingFactors!$B$24*WeightingFactors!$B$32*'Success Data'!P54</f>
        <v>2544172.7456579627</v>
      </c>
      <c r="E56" s="139">
        <f>WeightingFactors!$B$25*WeightingFactors!$B$32*'Success Data'!V54</f>
        <v>2459891.5095384074</v>
      </c>
      <c r="F56" s="139">
        <f>WeightingFactors!$B$26*WeightingFactors!$B$32*'Success Data'!AB54</f>
        <v>2382000.9435940855</v>
      </c>
      <c r="G56" s="139">
        <f>WeightingFactors!$B$27*WeightingFactors!$B$32*'Success Data'!AN54</f>
        <v>858025.52873375895</v>
      </c>
      <c r="H56" s="139">
        <f>WeightingFactors!$B$28*WeightingFactors!$B$32*'Success Data'!AH54</f>
        <v>2376005.2561108782</v>
      </c>
      <c r="I56" s="151"/>
      <c r="J56" s="139">
        <f>WeightingFactors!$B$35*WeightingFactors!$B$45*'Combo Data'!B55</f>
        <v>1211093.5769505783</v>
      </c>
      <c r="K56" s="139">
        <f>WeightingFactors!$B$36*WeightingFactors!$B$45*'Combo Data'!C55</f>
        <v>1036949.4024870964</v>
      </c>
      <c r="L56" s="139">
        <f>WeightingFactors!$B$37*WeightingFactors!$B$45*'Combo Data'!D55</f>
        <v>598950.41823046026</v>
      </c>
      <c r="M56" s="139">
        <f>WeightingFactors!$B$38*WeightingFactors!$B$45*'Combo Data'!E55</f>
        <v>554095.10056562407</v>
      </c>
      <c r="N56" s="139">
        <f>WeightingFactors!$B$39*WeightingFactors!$B$45*'Combo Data'!F55</f>
        <v>730218.18610255443</v>
      </c>
      <c r="O56" s="139">
        <f>WeightingFactors!$B$40*WeightingFactors!$B$45*'Combo Data'!G55</f>
        <v>104222.64986829595</v>
      </c>
      <c r="P56" s="139">
        <f>WeightingFactors!$B$41*WeightingFactors!$B$45*'Combo Data'!H55</f>
        <v>226255.49939762981</v>
      </c>
      <c r="Q56" s="198"/>
      <c r="R56" s="142">
        <f t="shared" si="0"/>
        <v>22258409.585698552</v>
      </c>
    </row>
    <row r="57" spans="1:18" ht="15.5" x14ac:dyDescent="0.35">
      <c r="A57" s="54" t="s">
        <v>210</v>
      </c>
      <c r="B57" s="139">
        <f>WeightingFactors!$B$22*WeightingFactors!$B$32*'Success Data'!D55</f>
        <v>5347518.907635713</v>
      </c>
      <c r="C57" s="139">
        <f>WeightingFactors!$B$23*WeightingFactors!$B$32*'Success Data'!J55</f>
        <v>0</v>
      </c>
      <c r="D57" s="139">
        <f>WeightingFactors!$B$24*WeightingFactors!$B$32*'Success Data'!P55</f>
        <v>3046060.0547080045</v>
      </c>
      <c r="E57" s="139">
        <f>WeightingFactors!$B$25*WeightingFactors!$B$32*'Success Data'!V55</f>
        <v>2594369.0716501987</v>
      </c>
      <c r="F57" s="139">
        <f>WeightingFactors!$B$26*WeightingFactors!$B$32*'Success Data'!AB55</f>
        <v>2335479.4507410484</v>
      </c>
      <c r="G57" s="139">
        <f>WeightingFactors!$B$27*WeightingFactors!$B$32*'Success Data'!AN55</f>
        <v>644394.6828041292</v>
      </c>
      <c r="H57" s="139">
        <f>WeightingFactors!$B$28*WeightingFactors!$B$32*'Success Data'!AH55</f>
        <v>1734251.7703318694</v>
      </c>
      <c r="I57" s="151"/>
      <c r="J57" s="139">
        <f>WeightingFactors!$B$35*WeightingFactors!$B$45*'Combo Data'!B56</f>
        <v>1721652.6339003318</v>
      </c>
      <c r="K57" s="139">
        <f>WeightingFactors!$B$36*WeightingFactors!$B$45*'Combo Data'!C56</f>
        <v>0</v>
      </c>
      <c r="L57" s="139">
        <f>WeightingFactors!$B$37*WeightingFactors!$B$45*'Combo Data'!D56</f>
        <v>868082.3242194776</v>
      </c>
      <c r="M57" s="139">
        <f>WeightingFactors!$B$38*WeightingFactors!$B$45*'Combo Data'!E56</f>
        <v>767817.49649807904</v>
      </c>
      <c r="N57" s="139">
        <f>WeightingFactors!$B$39*WeightingFactors!$B$45*'Combo Data'!F56</f>
        <v>511548.51248647785</v>
      </c>
      <c r="O57" s="139">
        <f>WeightingFactors!$B$40*WeightingFactors!$B$45*'Combo Data'!G56</f>
        <v>91029.909378638229</v>
      </c>
      <c r="P57" s="139">
        <f>WeightingFactors!$B$41*WeightingFactors!$B$45*'Combo Data'!H56</f>
        <v>265833.72086660296</v>
      </c>
      <c r="Q57" s="198"/>
      <c r="R57" s="142">
        <f t="shared" si="0"/>
        <v>19928038.535220563</v>
      </c>
    </row>
    <row r="58" spans="1:18" ht="15.5" x14ac:dyDescent="0.35">
      <c r="A58" s="54" t="s">
        <v>211</v>
      </c>
      <c r="B58" s="139">
        <f>WeightingFactors!$B$22*WeightingFactors!$B$32*'Success Data'!D56</f>
        <v>3899492.2920593545</v>
      </c>
      <c r="C58" s="139">
        <f>WeightingFactors!$B$23*WeightingFactors!$B$32*'Success Data'!J56</f>
        <v>2839029.1540319719</v>
      </c>
      <c r="D58" s="139">
        <f>WeightingFactors!$B$24*WeightingFactors!$B$32*'Success Data'!P56</f>
        <v>3642895.8015812719</v>
      </c>
      <c r="E58" s="139">
        <f>WeightingFactors!$B$25*WeightingFactors!$B$32*'Success Data'!V56</f>
        <v>2403131.4995561587</v>
      </c>
      <c r="F58" s="139">
        <f>WeightingFactors!$B$26*WeightingFactors!$B$32*'Success Data'!AB56</f>
        <v>1856148.5114193996</v>
      </c>
      <c r="G58" s="139">
        <f>WeightingFactors!$B$27*WeightingFactors!$B$32*'Success Data'!AN56</f>
        <v>702180.07555558637</v>
      </c>
      <c r="H58" s="139">
        <f>WeightingFactors!$B$28*WeightingFactors!$B$32*'Success Data'!AH56</f>
        <v>2906188.2471438837</v>
      </c>
      <c r="I58" s="151"/>
      <c r="J58" s="139">
        <f>WeightingFactors!$B$35*WeightingFactors!$B$45*'Combo Data'!B57</f>
        <v>1155684.0668940158</v>
      </c>
      <c r="K58" s="139">
        <f>WeightingFactors!$B$36*WeightingFactors!$B$45*'Combo Data'!C57</f>
        <v>902383.44949258771</v>
      </c>
      <c r="L58" s="139">
        <f>WeightingFactors!$B$37*WeightingFactors!$B$45*'Combo Data'!D57</f>
        <v>862805.22802361462</v>
      </c>
      <c r="M58" s="139">
        <f>WeightingFactors!$B$38*WeightingFactors!$B$45*'Combo Data'!E57</f>
        <v>562670.38188390154</v>
      </c>
      <c r="N58" s="139">
        <f>WeightingFactors!$B$39*WeightingFactors!$B$45*'Combo Data'!F57</f>
        <v>636219.91011374327</v>
      </c>
      <c r="O58" s="139">
        <f>WeightingFactors!$B$40*WeightingFactors!$B$45*'Combo Data'!G57</f>
        <v>147758.6934841664</v>
      </c>
      <c r="P58" s="139">
        <f>WeightingFactors!$B$41*WeightingFactors!$B$45*'Combo Data'!H57</f>
        <v>263195.17276867141</v>
      </c>
      <c r="Q58" s="198"/>
      <c r="R58" s="142">
        <f t="shared" si="0"/>
        <v>22779782.484008331</v>
      </c>
    </row>
    <row r="59" spans="1:18" ht="15.5" x14ac:dyDescent="0.35">
      <c r="A59" s="54" t="s">
        <v>212</v>
      </c>
      <c r="B59" s="139">
        <f>WeightingFactors!$B$22*WeightingFactors!$B$32*'Success Data'!D57</f>
        <v>6168035.0529467827</v>
      </c>
      <c r="C59" s="139">
        <f>WeightingFactors!$B$23*WeightingFactors!$B$32*'Success Data'!J57</f>
        <v>2134681.0396549897</v>
      </c>
      <c r="D59" s="139">
        <f>WeightingFactors!$B$24*WeightingFactors!$B$32*'Success Data'!P57</f>
        <v>2538052.4102523588</v>
      </c>
      <c r="E59" s="139">
        <f>WeightingFactors!$B$25*WeightingFactors!$B$32*'Success Data'!V57</f>
        <v>3337488.5869562635</v>
      </c>
      <c r="F59" s="139">
        <f>WeightingFactors!$B$26*WeightingFactors!$B$32*'Success Data'!AB57</f>
        <v>4004194.2472254485</v>
      </c>
      <c r="G59" s="139">
        <f>WeightingFactors!$B$27*WeightingFactors!$B$32*'Success Data'!AN57</f>
        <v>1083913.8822167281</v>
      </c>
      <c r="H59" s="139">
        <f>WeightingFactors!$B$28*WeightingFactors!$B$32*'Success Data'!AH57</f>
        <v>2430451.6575469272</v>
      </c>
      <c r="I59" s="151"/>
      <c r="J59" s="139">
        <f>WeightingFactors!$B$35*WeightingFactors!$B$45*'Combo Data'!B58</f>
        <v>1725610.456047229</v>
      </c>
      <c r="K59" s="139">
        <f>WeightingFactors!$B$36*WeightingFactors!$B$45*'Combo Data'!C58</f>
        <v>701853.79404979048</v>
      </c>
      <c r="L59" s="139">
        <f>WeightingFactors!$B$37*WeightingFactors!$B$45*'Combo Data'!D58</f>
        <v>675468.31307047501</v>
      </c>
      <c r="M59" s="139">
        <f>WeightingFactors!$B$38*WeightingFactors!$B$45*'Combo Data'!E58</f>
        <v>765178.94840014749</v>
      </c>
      <c r="N59" s="139">
        <f>WeightingFactors!$B$39*WeightingFactors!$B$45*'Combo Data'!F58</f>
        <v>1142821.1449165994</v>
      </c>
      <c r="O59" s="139">
        <f>WeightingFactors!$B$40*WeightingFactors!$B$45*'Combo Data'!G58</f>
        <v>225595.86237314693</v>
      </c>
      <c r="P59" s="139">
        <f>WeightingFactors!$B$41*WeightingFactors!$B$45*'Combo Data'!H58</f>
        <v>358842.54131868982</v>
      </c>
      <c r="Q59" s="198"/>
      <c r="R59" s="142">
        <f t="shared" si="0"/>
        <v>27292187.936975576</v>
      </c>
    </row>
    <row r="60" spans="1:18" ht="15.5" x14ac:dyDescent="0.35">
      <c r="A60" s="54" t="s">
        <v>213</v>
      </c>
      <c r="B60" s="139">
        <f>WeightingFactors!$B$22*WeightingFactors!$B$32*'Success Data'!D58</f>
        <v>2524287.2518902053</v>
      </c>
      <c r="C60" s="139">
        <f>WeightingFactors!$B$23*WeightingFactors!$B$32*'Success Data'!J58</f>
        <v>1038016.525085641</v>
      </c>
      <c r="D60" s="139">
        <f>WeightingFactors!$B$24*WeightingFactors!$B$32*'Success Data'!P58</f>
        <v>420424.22546615248</v>
      </c>
      <c r="E60" s="139">
        <f>WeightingFactors!$B$25*WeightingFactors!$B$32*'Success Data'!V58</f>
        <v>1589280.2795029827</v>
      </c>
      <c r="F60" s="139">
        <f>WeightingFactors!$B$26*WeightingFactors!$B$32*'Success Data'!AB58</f>
        <v>1403321.6197921843</v>
      </c>
      <c r="G60" s="139">
        <f>WeightingFactors!$B$27*WeightingFactors!$B$32*'Success Data'!AN58</f>
        <v>302935.54381824553</v>
      </c>
      <c r="H60" s="139">
        <f>WeightingFactors!$B$28*WeightingFactors!$B$32*'Success Data'!AH58</f>
        <v>1108564.4357962848</v>
      </c>
      <c r="I60" s="151"/>
      <c r="J60" s="139">
        <f>WeightingFactors!$B$35*WeightingFactors!$B$45*'Combo Data'!B59</f>
        <v>1226924.8655381675</v>
      </c>
      <c r="K60" s="139">
        <f>WeightingFactors!$B$36*WeightingFactors!$B$45*'Combo Data'!C59</f>
        <v>480215.75382354081</v>
      </c>
      <c r="L60" s="139">
        <f>WeightingFactors!$B$37*WeightingFactors!$B$45*'Combo Data'!D59</f>
        <v>135885.22704347447</v>
      </c>
      <c r="M60" s="139">
        <f>WeightingFactors!$B$38*WeightingFactors!$B$45*'Combo Data'!E59</f>
        <v>763859.67435118172</v>
      </c>
      <c r="N60" s="139">
        <f>WeightingFactors!$B$39*WeightingFactors!$B$45*'Combo Data'!F59</f>
        <v>479885.93531129934</v>
      </c>
      <c r="O60" s="139">
        <f>WeightingFactors!$B$40*WeightingFactors!$B$45*'Combo Data'!G59</f>
        <v>102903.37581933018</v>
      </c>
      <c r="P60" s="139">
        <f>WeightingFactors!$B$41*WeightingFactors!$B$45*'Combo Data'!H59</f>
        <v>415571.32542421803</v>
      </c>
      <c r="Q60" s="198"/>
      <c r="R60" s="142">
        <f t="shared" si="0"/>
        <v>11992076.03866291</v>
      </c>
    </row>
    <row r="61" spans="1:18" ht="15.5" x14ac:dyDescent="0.35">
      <c r="A61" s="54" t="s">
        <v>214</v>
      </c>
      <c r="B61" s="139">
        <f>WeightingFactors!$B$22*WeightingFactors!$B$32*'Success Data'!D59</f>
        <v>1578567.6904565739</v>
      </c>
      <c r="C61" s="139">
        <f>WeightingFactors!$B$23*WeightingFactors!$B$32*'Success Data'!J59</f>
        <v>646223.86566737248</v>
      </c>
      <c r="D61" s="139">
        <f>WeightingFactors!$B$24*WeightingFactors!$B$32*'Success Data'!P59</f>
        <v>1028252.799507873</v>
      </c>
      <c r="E61" s="139">
        <f>WeightingFactors!$B$25*WeightingFactors!$B$32*'Success Data'!V59</f>
        <v>1351761.468500339</v>
      </c>
      <c r="F61" s="139">
        <f>WeightingFactors!$B$26*WeightingFactors!$B$32*'Success Data'!AB59</f>
        <v>678305.25221207202</v>
      </c>
      <c r="G61" s="139">
        <f>WeightingFactors!$B$27*WeightingFactors!$B$32*'Success Data'!AN59</f>
        <v>213630.84592962978</v>
      </c>
      <c r="H61" s="139">
        <f>WeightingFactors!$B$28*WeightingFactors!$B$32*'Success Data'!AH59</f>
        <v>1023770.8597893228</v>
      </c>
      <c r="I61" s="151"/>
      <c r="J61" s="139">
        <f>WeightingFactors!$B$35*WeightingFactors!$B$45*'Combo Data'!B60</f>
        <v>809374.62904050073</v>
      </c>
      <c r="K61" s="139">
        <f>WeightingFactors!$B$36*WeightingFactors!$B$45*'Combo Data'!C60</f>
        <v>277047.55028281204</v>
      </c>
      <c r="L61" s="139">
        <f>WeightingFactors!$B$37*WeightingFactors!$B$45*'Combo Data'!D60</f>
        <v>321902.86794764822</v>
      </c>
      <c r="M61" s="139">
        <f>WeightingFactors!$B$38*WeightingFactors!$B$45*'Combo Data'!E60</f>
        <v>666233.39472771459</v>
      </c>
      <c r="N61" s="139">
        <f>WeightingFactors!$B$39*WeightingFactors!$B$45*'Combo Data'!F60</f>
        <v>259237.35062177409</v>
      </c>
      <c r="O61" s="139">
        <f>WeightingFactors!$B$40*WeightingFactors!$B$45*'Combo Data'!G60</f>
        <v>75198.620791048976</v>
      </c>
      <c r="P61" s="139">
        <f>WeightingFactors!$B$41*WeightingFactors!$B$45*'Combo Data'!H60</f>
        <v>301454.12018867879</v>
      </c>
      <c r="Q61" s="198"/>
      <c r="R61" s="142">
        <f t="shared" si="0"/>
        <v>9230961.3156633638</v>
      </c>
    </row>
    <row r="62" spans="1:18" ht="15.5" x14ac:dyDescent="0.35">
      <c r="A62" s="54" t="s">
        <v>215</v>
      </c>
      <c r="B62" s="139">
        <f>WeightingFactors!$B$22*WeightingFactors!$B$32*'Success Data'!D60</f>
        <v>5328920.8689049166</v>
      </c>
      <c r="C62" s="139">
        <f>WeightingFactors!$B$23*WeightingFactors!$B$32*'Success Data'!J60</f>
        <v>2690600.3575445162</v>
      </c>
      <c r="D62" s="139">
        <f>WeightingFactors!$B$24*WeightingFactors!$B$32*'Success Data'!P60</f>
        <v>324177.72187553294</v>
      </c>
      <c r="E62" s="139">
        <f>WeightingFactors!$B$25*WeightingFactors!$B$32*'Success Data'!V60</f>
        <v>2321921.0237354017</v>
      </c>
      <c r="F62" s="139">
        <f>WeightingFactors!$B$26*WeightingFactors!$B$32*'Success Data'!AB60</f>
        <v>2210562.4574945583</v>
      </c>
      <c r="G62" s="139">
        <f>WeightingFactors!$B$27*WeightingFactors!$B$32*'Success Data'!AN60</f>
        <v>1153956.7825215247</v>
      </c>
      <c r="H62" s="139">
        <f>WeightingFactors!$B$28*WeightingFactors!$B$32*'Success Data'!AH60</f>
        <v>1977921.7308571399</v>
      </c>
      <c r="I62" s="151"/>
      <c r="J62" s="139">
        <f>WeightingFactors!$B$35*WeightingFactors!$B$45*'Combo Data'!B61</f>
        <v>1917564.8301717488</v>
      </c>
      <c r="K62" s="139">
        <f>WeightingFactors!$B$36*WeightingFactors!$B$45*'Combo Data'!C61</f>
        <v>926130.38237397163</v>
      </c>
      <c r="L62" s="139">
        <f>WeightingFactors!$B$37*WeightingFactors!$B$45*'Combo Data'!D61</f>
        <v>134565.9529945087</v>
      </c>
      <c r="M62" s="139">
        <f>WeightingFactors!$B$38*WeightingFactors!$B$45*'Combo Data'!E61</f>
        <v>753965.11898393836</v>
      </c>
      <c r="N62" s="139">
        <f>WeightingFactors!$B$39*WeightingFactors!$B$45*'Combo Data'!F61</f>
        <v>552116.18949217536</v>
      </c>
      <c r="O62" s="139">
        <f>WeightingFactors!$B$40*WeightingFactors!$B$45*'Combo Data'!G61</f>
        <v>253300.61740142811</v>
      </c>
      <c r="P62" s="139">
        <f>WeightingFactors!$B$41*WeightingFactors!$B$45*'Combo Data'!H61</f>
        <v>437339.34723215323</v>
      </c>
      <c r="Q62" s="198"/>
      <c r="R62" s="142">
        <f t="shared" si="0"/>
        <v>20983043.381583516</v>
      </c>
    </row>
    <row r="63" spans="1:18" ht="15.5" x14ac:dyDescent="0.35">
      <c r="A63" s="54" t="s">
        <v>216</v>
      </c>
      <c r="B63" s="139">
        <f>WeightingFactors!$B$22*WeightingFactors!$B$32*'Success Data'!D61</f>
        <v>628901.0355960438</v>
      </c>
      <c r="C63" s="139">
        <f>WeightingFactors!$B$23*WeightingFactors!$B$32*'Success Data'!J61</f>
        <v>49786.112013457823</v>
      </c>
      <c r="D63" s="139">
        <f>WeightingFactors!$B$24*WeightingFactors!$B$32*'Success Data'!P61</f>
        <v>86311.076341816195</v>
      </c>
      <c r="E63" s="139">
        <f>WeightingFactors!$B$25*WeightingFactors!$B$32*'Success Data'!V61</f>
        <v>379855.45141966897</v>
      </c>
      <c r="F63" s="139">
        <f>WeightingFactors!$B$26*WeightingFactors!$B$32*'Success Data'!AB61</f>
        <v>129877.42357836872</v>
      </c>
      <c r="G63" s="139">
        <f>WeightingFactors!$B$27*WeightingFactors!$B$32*'Success Data'!AN61</f>
        <v>103313.27794957506</v>
      </c>
      <c r="H63" s="139">
        <f>WeightingFactors!$B$28*WeightingFactors!$B$32*'Success Data'!AH61</f>
        <v>920233.44066503202</v>
      </c>
      <c r="I63" s="151"/>
      <c r="J63" s="139">
        <f>WeightingFactors!$B$35*WeightingFactors!$B$45*'Combo Data'!B62</f>
        <v>273089.72813591466</v>
      </c>
      <c r="K63" s="139">
        <f>WeightingFactors!$B$36*WeightingFactors!$B$45*'Combo Data'!C62</f>
        <v>31662.577175178514</v>
      </c>
      <c r="L63" s="139">
        <f>WeightingFactors!$B$37*WeightingFactors!$B$45*'Combo Data'!D62</f>
        <v>54090.236007596628</v>
      </c>
      <c r="M63" s="139">
        <f>WeightingFactors!$B$38*WeightingFactors!$B$45*'Combo Data'!E62</f>
        <v>133906.31597002581</v>
      </c>
      <c r="N63" s="139">
        <f>WeightingFactors!$B$39*WeightingFactors!$B$45*'Combo Data'!F62</f>
        <v>68272.432033978665</v>
      </c>
      <c r="O63" s="139">
        <f>WeightingFactors!$B$40*WeightingFactors!$B$45*'Combo Data'!G62</f>
        <v>40897.495517938914</v>
      </c>
      <c r="P63" s="139">
        <f>WeightingFactors!$B$41*WeightingFactors!$B$45*'Combo Data'!H62</f>
        <v>81794.991035877829</v>
      </c>
      <c r="Q63" s="198"/>
      <c r="R63" s="142">
        <f t="shared" si="0"/>
        <v>2981991.593440474</v>
      </c>
    </row>
    <row r="64" spans="1:18" ht="15.5" x14ac:dyDescent="0.35">
      <c r="A64" s="54" t="s">
        <v>217</v>
      </c>
      <c r="B64" s="139">
        <f>WeightingFactors!$B$22*WeightingFactors!$B$32*'Success Data'!D62</f>
        <v>3149171.0875732582</v>
      </c>
      <c r="C64" s="139">
        <f>WeightingFactors!$B$23*WeightingFactors!$B$32*'Success Data'!J62</f>
        <v>676355.87042420276</v>
      </c>
      <c r="D64" s="139">
        <f>WeightingFactors!$B$24*WeightingFactors!$B$32*'Success Data'!P62</f>
        <v>249703.3437271147</v>
      </c>
      <c r="E64" s="139">
        <f>WeightingFactors!$B$25*WeightingFactors!$B$32*'Success Data'!V62</f>
        <v>1048750.3382874078</v>
      </c>
      <c r="F64" s="139">
        <f>WeightingFactors!$B$26*WeightingFactors!$B$32*'Success Data'!AB62</f>
        <v>1000239.6191925501</v>
      </c>
      <c r="G64" s="139">
        <f>WeightingFactors!$B$27*WeightingFactors!$B$32*'Success Data'!AN62</f>
        <v>385235.95167638158</v>
      </c>
      <c r="H64" s="139">
        <f>WeightingFactors!$B$28*WeightingFactors!$B$32*'Success Data'!AH62</f>
        <v>1351341.8323635873</v>
      </c>
      <c r="I64" s="151"/>
      <c r="J64" s="139">
        <f>WeightingFactors!$B$35*WeightingFactors!$B$45*'Combo Data'!B63</f>
        <v>1084443.2682498642</v>
      </c>
      <c r="K64" s="139">
        <f>WeightingFactors!$B$36*WeightingFactors!$B$45*'Combo Data'!C63</f>
        <v>221638.04022624961</v>
      </c>
      <c r="L64" s="139">
        <f>WeightingFactors!$B$37*WeightingFactors!$B$45*'Combo Data'!D63</f>
        <v>81794.991035877829</v>
      </c>
      <c r="M64" s="139">
        <f>WeightingFactors!$B$38*WeightingFactors!$B$45*'Combo Data'!E63</f>
        <v>317945.04580075096</v>
      </c>
      <c r="N64" s="139">
        <f>WeightingFactors!$B$39*WeightingFactors!$B$45*'Combo Data'!F63</f>
        <v>260226.80615849842</v>
      </c>
      <c r="O64" s="139">
        <f>WeightingFactors!$B$40*WeightingFactors!$B$45*'Combo Data'!G63</f>
        <v>87072.087231740923</v>
      </c>
      <c r="P64" s="139">
        <f>WeightingFactors!$B$41*WeightingFactors!$B$45*'Combo Data'!H63</f>
        <v>266493.35789108585</v>
      </c>
      <c r="Q64" s="198"/>
      <c r="R64" s="142">
        <f t="shared" si="0"/>
        <v>10180411.639838569</v>
      </c>
    </row>
    <row r="65" spans="1:18" ht="15.5" x14ac:dyDescent="0.35">
      <c r="A65" s="54" t="s">
        <v>218</v>
      </c>
      <c r="B65" s="139">
        <f>WeightingFactors!$B$22*WeightingFactors!$B$32*'Success Data'!D63</f>
        <v>3956793.1515954887</v>
      </c>
      <c r="C65" s="139">
        <f>WeightingFactors!$B$23*WeightingFactors!$B$32*'Success Data'!J63</f>
        <v>2347314.9117546678</v>
      </c>
      <c r="D65" s="139">
        <f>WeightingFactors!$B$24*WeightingFactors!$B$32*'Success Data'!P63</f>
        <v>1006532.5336726879</v>
      </c>
      <c r="E65" s="139">
        <f>WeightingFactors!$B$25*WeightingFactors!$B$32*'Success Data'!V63</f>
        <v>2504426.2866014037</v>
      </c>
      <c r="F65" s="139">
        <f>WeightingFactors!$B$26*WeightingFactors!$B$32*'Success Data'!AB63</f>
        <v>1989941.9232890685</v>
      </c>
      <c r="G65" s="139">
        <f>WeightingFactors!$B$27*WeightingFactors!$B$32*'Success Data'!AN63</f>
        <v>378231.66164590191</v>
      </c>
      <c r="H65" s="139">
        <f>WeightingFactors!$B$28*WeightingFactors!$B$32*'Success Data'!AH63</f>
        <v>3881760.6532029333</v>
      </c>
      <c r="I65" s="151"/>
      <c r="J65" s="139">
        <f>WeightingFactors!$B$35*WeightingFactors!$B$45*'Combo Data'!B64</f>
        <v>1331807.1524309462</v>
      </c>
      <c r="K65" s="139">
        <f>WeightingFactors!$B$36*WeightingFactors!$B$45*'Combo Data'!C64</f>
        <v>656998.47638495418</v>
      </c>
      <c r="L65" s="139">
        <f>WeightingFactors!$B$37*WeightingFactors!$B$45*'Combo Data'!D64</f>
        <v>240107.87691177041</v>
      </c>
      <c r="M65" s="139">
        <f>WeightingFactors!$B$38*WeightingFactors!$B$45*'Combo Data'!E64</f>
        <v>623356.98813632701</v>
      </c>
      <c r="N65" s="139">
        <f>WeightingFactors!$B$39*WeightingFactors!$B$45*'Combo Data'!F64</f>
        <v>413592.41435076937</v>
      </c>
      <c r="O65" s="139">
        <f>WeightingFactors!$B$40*WeightingFactors!$B$45*'Combo Data'!G64</f>
        <v>46174.591713802001</v>
      </c>
      <c r="P65" s="139">
        <f>WeightingFactors!$B$41*WeightingFactors!$B$45*'Combo Data'!H64</f>
        <v>461745.91713802004</v>
      </c>
      <c r="Q65" s="198"/>
      <c r="R65" s="142">
        <f t="shared" si="0"/>
        <v>19838784.538828745</v>
      </c>
    </row>
    <row r="66" spans="1:18" ht="15.5" x14ac:dyDescent="0.35">
      <c r="A66" s="54" t="s">
        <v>219</v>
      </c>
      <c r="B66" s="139">
        <f>WeightingFactors!$B$22*WeightingFactors!$B$32*'Success Data'!D64</f>
        <v>5384706.3150812965</v>
      </c>
      <c r="C66" s="139">
        <f>WeightingFactors!$B$23*WeightingFactors!$B$32*'Success Data'!J64</f>
        <v>4169940.8276595082</v>
      </c>
      <c r="D66" s="139">
        <f>WeightingFactors!$B$24*WeightingFactors!$B$32*'Success Data'!P64</f>
        <v>6705689.8929939745</v>
      </c>
      <c r="E66" s="139">
        <f>WeightingFactors!$B$25*WeightingFactors!$B$32*'Success Data'!V64</f>
        <v>3921680.0743120303</v>
      </c>
      <c r="F66" s="139">
        <f>WeightingFactors!$B$26*WeightingFactors!$B$32*'Success Data'!AB64</f>
        <v>3887844.5617220686</v>
      </c>
      <c r="G66" s="139">
        <f>WeightingFactors!$B$27*WeightingFactors!$B$32*'Success Data'!AN64</f>
        <v>1292291.5106234981</v>
      </c>
      <c r="H66" s="139">
        <f>WeightingFactors!$B$28*WeightingFactors!$B$32*'Success Data'!AH64</f>
        <v>3164139.2309966427</v>
      </c>
      <c r="I66" s="151"/>
      <c r="J66" s="139">
        <f>WeightingFactors!$B$35*WeightingFactors!$B$45*'Combo Data'!B65</f>
        <v>1460436.3722051089</v>
      </c>
      <c r="K66" s="139">
        <f>WeightingFactors!$B$36*WeightingFactors!$B$45*'Combo Data'!C65</f>
        <v>978901.34433260246</v>
      </c>
      <c r="L66" s="139">
        <f>WeightingFactors!$B$37*WeightingFactors!$B$45*'Combo Data'!D65</f>
        <v>1562020.4739754735</v>
      </c>
      <c r="M66" s="139">
        <f>WeightingFactors!$B$38*WeightingFactors!$B$45*'Combo Data'!E65</f>
        <v>783648.78508566832</v>
      </c>
      <c r="N66" s="139">
        <f>WeightingFactors!$B$39*WeightingFactors!$B$45*'Combo Data'!F65</f>
        <v>883583.79429482541</v>
      </c>
      <c r="O66" s="139">
        <f>WeightingFactors!$B$40*WeightingFactors!$B$45*'Combo Data'!G65</f>
        <v>207126.02568762613</v>
      </c>
      <c r="P66" s="139">
        <f>WeightingFactors!$B$41*WeightingFactors!$B$45*'Combo Data'!H65</f>
        <v>258577.71359729121</v>
      </c>
      <c r="Q66" s="198"/>
      <c r="R66" s="142">
        <f t="shared" si="0"/>
        <v>34660586.922567613</v>
      </c>
    </row>
    <row r="67" spans="1:18" ht="15.5" x14ac:dyDescent="0.35">
      <c r="A67" s="54" t="s">
        <v>220</v>
      </c>
      <c r="B67" s="139">
        <f>WeightingFactors!$B$22*WeightingFactors!$B$32*'Success Data'!D65</f>
        <v>2755287.5090654371</v>
      </c>
      <c r="C67" s="139">
        <f>WeightingFactors!$B$23*WeightingFactors!$B$32*'Success Data'!J65</f>
        <v>2560729.1978525748</v>
      </c>
      <c r="D67" s="139">
        <f>WeightingFactors!$B$24*WeightingFactors!$B$32*'Success Data'!P65</f>
        <v>1498790.2862422061</v>
      </c>
      <c r="E67" s="139">
        <f>WeightingFactors!$B$25*WeightingFactors!$B$32*'Success Data'!V65</f>
        <v>1885305.5623334832</v>
      </c>
      <c r="F67" s="139">
        <f>WeightingFactors!$B$26*WeightingFactors!$B$32*'Success Data'!AB65</f>
        <v>1554856.7419190765</v>
      </c>
      <c r="G67" s="139">
        <f>WeightingFactors!$B$27*WeightingFactors!$B$32*'Success Data'!AN65</f>
        <v>357218.79155446292</v>
      </c>
      <c r="H67" s="139">
        <f>WeightingFactors!$B$28*WeightingFactors!$B$32*'Success Data'!AH65</f>
        <v>1703012.0318029886</v>
      </c>
      <c r="I67" s="151"/>
      <c r="J67" s="139">
        <f>WeightingFactors!$B$35*WeightingFactors!$B$45*'Combo Data'!B66</f>
        <v>1266503.0870071405</v>
      </c>
      <c r="K67" s="139">
        <f>WeightingFactors!$B$36*WeightingFactors!$B$45*'Combo Data'!C66</f>
        <v>1068611.9796622749</v>
      </c>
      <c r="L67" s="139">
        <f>WeightingFactors!$B$37*WeightingFactors!$B$45*'Combo Data'!D66</f>
        <v>563330.01890838437</v>
      </c>
      <c r="M67" s="139">
        <f>WeightingFactors!$B$38*WeightingFactors!$B$45*'Combo Data'!E66</f>
        <v>780350.59996325383</v>
      </c>
      <c r="N67" s="139">
        <f>WeightingFactors!$B$39*WeightingFactors!$B$45*'Combo Data'!F66</f>
        <v>593673.32203459716</v>
      </c>
      <c r="O67" s="139">
        <f>WeightingFactors!$B$40*WeightingFactors!$B$45*'Combo Data'!G66</f>
        <v>113457.56821105635</v>
      </c>
      <c r="P67" s="139">
        <f>WeightingFactors!$B$41*WeightingFactors!$B$45*'Combo Data'!H66</f>
        <v>346969.07487799792</v>
      </c>
      <c r="Q67" s="198"/>
      <c r="R67" s="142">
        <f t="shared" si="0"/>
        <v>17048095.771434933</v>
      </c>
    </row>
    <row r="68" spans="1:18" ht="15.5" x14ac:dyDescent="0.35">
      <c r="A68" s="54" t="s">
        <v>221</v>
      </c>
      <c r="B68" s="139">
        <f>WeightingFactors!$B$22*WeightingFactors!$B$32*'Success Data'!D66</f>
        <v>3372832.8019521707</v>
      </c>
      <c r="C68" s="139">
        <f>WeightingFactors!$B$23*WeightingFactors!$B$32*'Success Data'!J66</f>
        <v>5622984.7753777206</v>
      </c>
      <c r="D68" s="139">
        <f>WeightingFactors!$B$24*WeightingFactors!$B$32*'Success Data'!P66</f>
        <v>1175099.2700224237</v>
      </c>
      <c r="E68" s="139">
        <f>WeightingFactors!$B$25*WeightingFactors!$B$32*'Success Data'!V66</f>
        <v>4863023.009094567</v>
      </c>
      <c r="F68" s="139">
        <f>WeightingFactors!$B$26*WeightingFactors!$B$32*'Success Data'!AB66</f>
        <v>3765891.2222202579</v>
      </c>
      <c r="G68" s="139">
        <f>WeightingFactors!$B$27*WeightingFactors!$B$32*'Success Data'!AN66</f>
        <v>985853.82179001288</v>
      </c>
      <c r="H68" s="139">
        <f>WeightingFactors!$B$28*WeightingFactors!$B$32*'Success Data'!AH66</f>
        <v>4605630.0231150007</v>
      </c>
      <c r="I68" s="151"/>
      <c r="J68" s="139">
        <f>WeightingFactors!$B$35*WeightingFactors!$B$45*'Combo Data'!B67</f>
        <v>1709779.1674596397</v>
      </c>
      <c r="K68" s="139">
        <f>WeightingFactors!$B$36*WeightingFactors!$B$45*'Combo Data'!C67</f>
        <v>2324560.8742776895</v>
      </c>
      <c r="L68" s="139">
        <f>WeightingFactors!$B$37*WeightingFactors!$B$45*'Combo Data'!D67</f>
        <v>627974.44730770728</v>
      </c>
      <c r="M68" s="139">
        <f>WeightingFactors!$B$38*WeightingFactors!$B$45*'Combo Data'!E67</f>
        <v>2268491.7271966441</v>
      </c>
      <c r="N68" s="139">
        <f>WeightingFactors!$B$39*WeightingFactors!$B$45*'Combo Data'!F67</f>
        <v>1361490.8185326762</v>
      </c>
      <c r="O68" s="139">
        <f>WeightingFactors!$B$40*WeightingFactors!$B$45*'Combo Data'!G67</f>
        <v>270451.18003798317</v>
      </c>
      <c r="P68" s="139">
        <f>WeightingFactors!$B$41*WeightingFactors!$B$45*'Combo Data'!H67</f>
        <v>1152385.8817716015</v>
      </c>
      <c r="Q68" s="198"/>
      <c r="R68" s="142">
        <f t="shared" si="0"/>
        <v>34106449.020156093</v>
      </c>
    </row>
    <row r="69" spans="1:18" ht="15.5" x14ac:dyDescent="0.35">
      <c r="A69" s="54" t="s">
        <v>222</v>
      </c>
      <c r="B69" s="139">
        <f>WeightingFactors!$B$22*WeightingFactors!$B$32*'Success Data'!D67</f>
        <v>9592297.7512240224</v>
      </c>
      <c r="C69" s="139">
        <f>WeightingFactors!$B$23*WeightingFactors!$B$32*'Success Data'!J67</f>
        <v>7274821.9040078651</v>
      </c>
      <c r="D69" s="139">
        <f>WeightingFactors!$B$24*WeightingFactors!$B$32*'Success Data'!P67</f>
        <v>3928440.7299632807</v>
      </c>
      <c r="E69" s="139">
        <f>WeightingFactors!$B$25*WeightingFactors!$B$32*'Success Data'!V67</f>
        <v>3342727.9724930869</v>
      </c>
      <c r="F69" s="139">
        <f>WeightingFactors!$B$26*WeightingFactors!$B$32*'Success Data'!AB67</f>
        <v>4291580.0649031335</v>
      </c>
      <c r="G69" s="139">
        <f>WeightingFactors!$B$27*WeightingFactors!$B$32*'Success Data'!AN67</f>
        <v>1477905.1964312093</v>
      </c>
      <c r="H69" s="139">
        <f>WeightingFactors!$B$28*WeightingFactors!$B$32*'Success Data'!AH67</f>
        <v>2751774.682415416</v>
      </c>
      <c r="I69" s="151"/>
      <c r="J69" s="139">
        <f>WeightingFactors!$B$35*WeightingFactors!$B$45*'Combo Data'!B68</f>
        <v>3463094.3785351501</v>
      </c>
      <c r="K69" s="139">
        <f>WeightingFactors!$B$36*WeightingFactors!$B$45*'Combo Data'!C68</f>
        <v>2311368.1337880315</v>
      </c>
      <c r="L69" s="139">
        <f>WeightingFactors!$B$37*WeightingFactors!$B$45*'Combo Data'!D68</f>
        <v>1630622.7245216935</v>
      </c>
      <c r="M69" s="139">
        <f>WeightingFactors!$B$38*WeightingFactors!$B$45*'Combo Data'!E68</f>
        <v>1135894.9561595293</v>
      </c>
      <c r="N69" s="139">
        <f>WeightingFactors!$B$39*WeightingFactors!$B$45*'Combo Data'!F68</f>
        <v>1190315.0106793672</v>
      </c>
      <c r="O69" s="139">
        <f>WeightingFactors!$B$40*WeightingFactors!$B$45*'Combo Data'!G68</f>
        <v>360161.8153676556</v>
      </c>
      <c r="P69" s="139">
        <f>WeightingFactors!$B$41*WeightingFactors!$B$45*'Combo Data'!H68</f>
        <v>507920.508851822</v>
      </c>
      <c r="Q69" s="198"/>
      <c r="R69" s="142">
        <f t="shared" ref="R69:R75" si="1">SUM(B69:P69)</f>
        <v>43258925.829341255</v>
      </c>
    </row>
    <row r="70" spans="1:18" ht="15.5" x14ac:dyDescent="0.35">
      <c r="A70" s="54" t="s">
        <v>223</v>
      </c>
      <c r="B70" s="139">
        <f>WeightingFactors!$B$22*WeightingFactors!$B$32*'Success Data'!D68</f>
        <v>2625959.5752587295</v>
      </c>
      <c r="C70" s="139">
        <f>WeightingFactors!$B$23*WeightingFactors!$B$32*'Success Data'!J68</f>
        <v>394338.01177867135</v>
      </c>
      <c r="D70" s="139">
        <f>WeightingFactors!$B$24*WeightingFactors!$B$32*'Success Data'!P68</f>
        <v>399936.31127758033</v>
      </c>
      <c r="E70" s="139">
        <f>WeightingFactors!$B$25*WeightingFactors!$B$32*'Success Data'!V68</f>
        <v>1672237.2171693472</v>
      </c>
      <c r="F70" s="139">
        <f>WeightingFactors!$B$26*WeightingFactors!$B$32*'Success Data'!AB68</f>
        <v>716862.7227761083</v>
      </c>
      <c r="G70" s="139">
        <f>WeightingFactors!$B$27*WeightingFactors!$B$32*'Success Data'!AN68</f>
        <v>190866.90333057087</v>
      </c>
      <c r="H70" s="139">
        <f>WeightingFactors!$B$28*WeightingFactors!$B$32*'Success Data'!AH68</f>
        <v>1086250.3368470843</v>
      </c>
      <c r="I70" s="151"/>
      <c r="J70" s="139">
        <f>WeightingFactors!$B$35*WeightingFactors!$B$45*'Combo Data'!B69</f>
        <v>1389195.5735609573</v>
      </c>
      <c r="K70" s="139">
        <f>WeightingFactors!$B$36*WeightingFactors!$B$45*'Combo Data'!C69</f>
        <v>216360.94403038651</v>
      </c>
      <c r="L70" s="139">
        <f>WeightingFactors!$B$37*WeightingFactors!$B$45*'Combo Data'!D69</f>
        <v>200529.65544279726</v>
      </c>
      <c r="M70" s="139">
        <f>WeightingFactors!$B$38*WeightingFactors!$B$45*'Combo Data'!E69</f>
        <v>852251.03563188843</v>
      </c>
      <c r="N70" s="139">
        <f>WeightingFactors!$B$39*WeightingFactors!$B$45*'Combo Data'!F69</f>
        <v>409634.59220387205</v>
      </c>
      <c r="O70" s="139">
        <f>WeightingFactors!$B$40*WeightingFactors!$B$45*'Combo Data'!G69</f>
        <v>71240.798644151655</v>
      </c>
      <c r="P70" s="139">
        <f>WeightingFactors!$B$41*WeightingFactors!$B$45*'Combo Data'!H69</f>
        <v>374673.8299062791</v>
      </c>
      <c r="Q70" s="198"/>
      <c r="R70" s="142">
        <f t="shared" si="1"/>
        <v>10600337.507858425</v>
      </c>
    </row>
    <row r="71" spans="1:18" ht="15.5" x14ac:dyDescent="0.35">
      <c r="A71" s="54" t="s">
        <v>224</v>
      </c>
      <c r="B71" s="139">
        <f>WeightingFactors!$B$22*WeightingFactors!$B$32*'Success Data'!D69</f>
        <v>2134660.9135316052</v>
      </c>
      <c r="C71" s="139">
        <f>WeightingFactors!$B$23*WeightingFactors!$B$32*'Success Data'!J69</f>
        <v>434247.56561556685</v>
      </c>
      <c r="D71" s="139">
        <f>WeightingFactors!$B$24*WeightingFactors!$B$32*'Success Data'!P69</f>
        <v>574394.1000815283</v>
      </c>
      <c r="E71" s="139">
        <f>WeightingFactors!$B$25*WeightingFactors!$B$32*'Success Data'!V69</f>
        <v>858385.99711617141</v>
      </c>
      <c r="F71" s="139">
        <f>WeightingFactors!$B$26*WeightingFactors!$B$32*'Success Data'!AB69</f>
        <v>599455.9775584396</v>
      </c>
      <c r="G71" s="139">
        <f>WeightingFactors!$B$27*WeightingFactors!$B$32*'Success Data'!AN69</f>
        <v>232892.64351344886</v>
      </c>
      <c r="H71" s="139">
        <f>WeightingFactors!$B$28*WeightingFactors!$B$32*'Success Data'!AH69</f>
        <v>782778.59113795636</v>
      </c>
      <c r="I71" s="151"/>
      <c r="J71" s="139">
        <f>WeightingFactors!$B$35*WeightingFactors!$B$45*'Combo Data'!B70</f>
        <v>1036949.4024870964</v>
      </c>
      <c r="K71" s="139">
        <f>WeightingFactors!$B$36*WeightingFactors!$B$45*'Combo Data'!C70</f>
        <v>234830.78071590731</v>
      </c>
      <c r="L71" s="139">
        <f>WeightingFactors!$B$37*WeightingFactors!$B$45*'Combo Data'!D70</f>
        <v>274409.00218488049</v>
      </c>
      <c r="M71" s="139">
        <f>WeightingFactors!$B$38*WeightingFactors!$B$45*'Combo Data'!E70</f>
        <v>439318.25830560189</v>
      </c>
      <c r="N71" s="139">
        <f>WeightingFactors!$B$39*WeightingFactors!$B$45*'Combo Data'!F70</f>
        <v>269131.9059890174</v>
      </c>
      <c r="O71" s="139">
        <f>WeightingFactors!$B$40*WeightingFactors!$B$45*'Combo Data'!G70</f>
        <v>67282.976497254349</v>
      </c>
      <c r="P71" s="139">
        <f>WeightingFactors!$B$41*WeightingFactors!$B$45*'Combo Data'!H70</f>
        <v>253300.61740142811</v>
      </c>
      <c r="Q71" s="198"/>
      <c r="R71" s="142">
        <f t="shared" si="1"/>
        <v>8192038.7321359031</v>
      </c>
    </row>
    <row r="72" spans="1:18" ht="15.5" x14ac:dyDescent="0.35">
      <c r="A72" s="54" t="s">
        <v>225</v>
      </c>
      <c r="B72" s="139">
        <f>WeightingFactors!$B$22*WeightingFactors!$B$32*'Success Data'!D70</f>
        <v>1001815.0146339133</v>
      </c>
      <c r="C72" s="139">
        <f>WeightingFactors!$B$23*WeightingFactors!$B$32*'Success Data'!J70</f>
        <v>389770.59942601551</v>
      </c>
      <c r="D72" s="139">
        <f>WeightingFactors!$B$24*WeightingFactors!$B$32*'Success Data'!P70</f>
        <v>184245.87463188864</v>
      </c>
      <c r="E72" s="139">
        <f>WeightingFactors!$B$25*WeightingFactors!$B$32*'Success Data'!V70</f>
        <v>264588.96960956254</v>
      </c>
      <c r="F72" s="139">
        <f>WeightingFactors!$B$26*WeightingFactors!$B$32*'Success Data'!AB70</f>
        <v>370442.87054273527</v>
      </c>
      <c r="G72" s="139">
        <f>WeightingFactors!$B$27*WeightingFactors!$B$32*'Success Data'!AN70</f>
        <v>71793.97281241657</v>
      </c>
      <c r="H72" s="139">
        <f>WeightingFactors!$B$28*WeightingFactors!$B$32*'Success Data'!AH70</f>
        <v>1719078.1830464129</v>
      </c>
      <c r="I72" s="151"/>
      <c r="J72" s="139">
        <f>WeightingFactors!$B$35*WeightingFactors!$B$45*'Combo Data'!B71</f>
        <v>411613.50327732071</v>
      </c>
      <c r="K72" s="139">
        <f>WeightingFactors!$B$36*WeightingFactors!$B$45*'Combo Data'!C71</f>
        <v>176782.72256141339</v>
      </c>
      <c r="L72" s="139">
        <f>WeightingFactors!$B$37*WeightingFactors!$B$45*'Combo Data'!D71</f>
        <v>46174.591713802001</v>
      </c>
      <c r="M72" s="139">
        <f>WeightingFactors!$B$38*WeightingFactors!$B$45*'Combo Data'!E71</f>
        <v>117415.39035795366</v>
      </c>
      <c r="N72" s="139">
        <f>WeightingFactors!$B$39*WeightingFactors!$B$45*'Combo Data'!F71</f>
        <v>111808.47564984913</v>
      </c>
      <c r="O72" s="139">
        <f>WeightingFactors!$B$40*WeightingFactors!$B$45*'Combo Data'!G71</f>
        <v>17150.562636555031</v>
      </c>
      <c r="P72" s="139">
        <f>WeightingFactors!$B$41*WeightingFactors!$B$45*'Combo Data'!H71</f>
        <v>111478.65713760769</v>
      </c>
      <c r="Q72" s="198"/>
      <c r="R72" s="142">
        <f t="shared" si="1"/>
        <v>4994159.3880374469</v>
      </c>
    </row>
    <row r="73" spans="1:18" ht="15.5" x14ac:dyDescent="0.35">
      <c r="A73" s="54" t="s">
        <v>226</v>
      </c>
      <c r="B73" s="139">
        <f>WeightingFactors!$B$22*WeightingFactors!$B$32*'Success Data'!D71</f>
        <v>1517019.8390969625</v>
      </c>
      <c r="C73" s="139">
        <f>WeightingFactors!$B$23*WeightingFactors!$B$32*'Success Data'!J71</f>
        <v>2016306.4462639713</v>
      </c>
      <c r="D73" s="139">
        <f>WeightingFactors!$B$24*WeightingFactors!$B$32*'Success Data'!P71</f>
        <v>486181.79503654485</v>
      </c>
      <c r="E73" s="139">
        <f>WeightingFactors!$B$25*WeightingFactors!$B$32*'Success Data'!V71</f>
        <v>1668744.2934781318</v>
      </c>
      <c r="F73" s="139">
        <f>WeightingFactors!$B$26*WeightingFactors!$B$32*'Success Data'!AB71</f>
        <v>1714021.2628590828</v>
      </c>
      <c r="G73" s="139">
        <f>WeightingFactors!$B$27*WeightingFactors!$B$32*'Success Data'!AN71</f>
        <v>450025.63445831847</v>
      </c>
      <c r="H73" s="139">
        <f>WeightingFactors!$B$28*WeightingFactors!$B$32*'Success Data'!AH71</f>
        <v>2384930.8956905585</v>
      </c>
      <c r="I73" s="151"/>
      <c r="J73" s="139">
        <f>WeightingFactors!$B$35*WeightingFactors!$B$45*'Combo Data'!B72</f>
        <v>560031.83378597</v>
      </c>
      <c r="K73" s="139">
        <f>WeightingFactors!$B$36*WeightingFactors!$B$45*'Combo Data'!C72</f>
        <v>559372.19676148717</v>
      </c>
      <c r="L73" s="139">
        <f>WeightingFactors!$B$37*WeightingFactors!$B$45*'Combo Data'!D72</f>
        <v>145120.14538623486</v>
      </c>
      <c r="M73" s="139">
        <f>WeightingFactors!$B$38*WeightingFactors!$B$45*'Combo Data'!E72</f>
        <v>376652.74097972777</v>
      </c>
      <c r="N73" s="139">
        <f>WeightingFactors!$B$39*WeightingFactors!$B$45*'Combo Data'!F72</f>
        <v>474938.65762767772</v>
      </c>
      <c r="O73" s="139">
        <f>WeightingFactors!$B$40*WeightingFactors!$B$45*'Combo Data'!G72</f>
        <v>60686.606252425488</v>
      </c>
      <c r="P73" s="139">
        <f>WeightingFactors!$B$41*WeightingFactors!$B$45*'Combo Data'!H72</f>
        <v>253300.61740142811</v>
      </c>
      <c r="Q73" s="198"/>
      <c r="R73" s="142">
        <f t="shared" si="1"/>
        <v>12667332.965078522</v>
      </c>
    </row>
    <row r="74" spans="1:18" ht="15.5" x14ac:dyDescent="0.35">
      <c r="A74" s="54" t="s">
        <v>227</v>
      </c>
      <c r="B74" s="139">
        <f>WeightingFactors!$B$22*WeightingFactors!$B$32*'Success Data'!D72</f>
        <v>3478477.6736646872</v>
      </c>
      <c r="C74" s="139">
        <f>WeightingFactors!$B$23*WeightingFactors!$B$32*'Success Data'!J72</f>
        <v>1742533.4552113833</v>
      </c>
      <c r="D74" s="139">
        <f>WeightingFactors!$B$24*WeightingFactors!$B$32*'Success Data'!P72</f>
        <v>685243.34095226566</v>
      </c>
      <c r="E74" s="139">
        <f>WeightingFactors!$B$25*WeightingFactors!$B$32*'Success Data'!V72</f>
        <v>2615326.613797491</v>
      </c>
      <c r="F74" s="139">
        <f>WeightingFactors!$B$26*WeightingFactors!$B$32*'Success Data'!AB72</f>
        <v>2086055.353715373</v>
      </c>
      <c r="G74" s="139">
        <f>WeightingFactors!$B$27*WeightingFactors!$B$32*'Success Data'!AN72</f>
        <v>112068.64048767464</v>
      </c>
      <c r="H74" s="139">
        <f>WeightingFactors!$B$28*WeightingFactors!$B$32*'Success Data'!AH72</f>
        <v>2440269.8610845758</v>
      </c>
      <c r="I74" s="151"/>
      <c r="J74" s="139">
        <f>WeightingFactors!$B$35*WeightingFactors!$B$45*'Combo Data'!B73</f>
        <v>1622707.0802278989</v>
      </c>
      <c r="K74" s="139">
        <f>WeightingFactors!$B$36*WeightingFactors!$B$45*'Combo Data'!C73</f>
        <v>807395.71796705213</v>
      </c>
      <c r="L74" s="139">
        <f>WeightingFactors!$B$37*WeightingFactors!$B$45*'Combo Data'!D73</f>
        <v>320583.59389868245</v>
      </c>
      <c r="M74" s="139">
        <f>WeightingFactors!$B$38*WeightingFactors!$B$45*'Combo Data'!E73</f>
        <v>1135894.9561595293</v>
      </c>
      <c r="N74" s="139">
        <f>WeightingFactors!$B$39*WeightingFactors!$B$45*'Combo Data'!F73</f>
        <v>658977.38745840278</v>
      </c>
      <c r="O74" s="139">
        <f>WeightingFactors!$B$40*WeightingFactors!$B$45*'Combo Data'!G73</f>
        <v>25066.206930349657</v>
      </c>
      <c r="P74" s="139">
        <f>WeightingFactors!$B$41*WeightingFactors!$B$45*'Combo Data'!H73</f>
        <v>717685.08263737964</v>
      </c>
      <c r="Q74" s="198"/>
      <c r="R74" s="142">
        <f t="shared" si="1"/>
        <v>18448284.964192744</v>
      </c>
    </row>
    <row r="75" spans="1:18" ht="15.5" x14ac:dyDescent="0.35">
      <c r="A75" s="54" t="s">
        <v>228</v>
      </c>
      <c r="B75" s="139">
        <f>WeightingFactors!$B$22*WeightingFactors!$B$32*'Success Data'!D73</f>
        <v>3007262.8995863679</v>
      </c>
      <c r="C75" s="139">
        <f>WeightingFactors!$B$23*WeightingFactors!$B$32*'Success Data'!J73</f>
        <v>684743.60257514915</v>
      </c>
      <c r="D75" s="139">
        <f>WeightingFactors!$B$24*WeightingFactors!$B$32*'Success Data'!P73</f>
        <v>100653.18487659715</v>
      </c>
      <c r="E75" s="139">
        <f>WeightingFactors!$B$25*WeightingFactors!$B$32*'Success Data'!V73</f>
        <v>1277536.8400620129</v>
      </c>
      <c r="F75" s="139">
        <f>WeightingFactors!$B$26*WeightingFactors!$B$32*'Success Data'!AB73</f>
        <v>873523.28965616843</v>
      </c>
      <c r="G75" s="139">
        <f>WeightingFactors!$B$27*WeightingFactors!$B$32*'Success Data'!AN73</f>
        <v>147090.09064007297</v>
      </c>
      <c r="H75" s="139">
        <f>WeightingFactors!$B$28*WeightingFactors!$B$32*'Success Data'!AH73</f>
        <v>1213886.9828365117</v>
      </c>
      <c r="I75" s="151"/>
      <c r="J75" s="139">
        <f>WeightingFactors!$B$35*WeightingFactors!$B$45*'Combo Data'!B74</f>
        <v>1470330.9275723523</v>
      </c>
      <c r="K75" s="139">
        <f>WeightingFactors!$B$36*WeightingFactors!$B$45*'Combo Data'!C74</f>
        <v>385228.02229800529</v>
      </c>
      <c r="L75" s="139">
        <f>WeightingFactors!$B$37*WeightingFactors!$B$45*'Combo Data'!D74</f>
        <v>60686.606252425488</v>
      </c>
      <c r="M75" s="139">
        <f>WeightingFactors!$B$38*WeightingFactors!$B$45*'Combo Data'!E74</f>
        <v>598290.78120597743</v>
      </c>
      <c r="N75" s="139">
        <f>WeightingFactors!$B$39*WeightingFactors!$B$45*'Combo Data'!F74</f>
        <v>349277.80446368799</v>
      </c>
      <c r="O75" s="139">
        <f>WeightingFactors!$B$40*WeightingFactors!$B$45*'Combo Data'!G74</f>
        <v>59367.332203459715</v>
      </c>
      <c r="P75" s="139">
        <f>WeightingFactors!$B$41*WeightingFactors!$B$45*'Combo Data'!H74</f>
        <v>346309.43785351503</v>
      </c>
      <c r="Q75" s="198"/>
      <c r="R75" s="142">
        <f t="shared" si="1"/>
        <v>10574187.802082304</v>
      </c>
    </row>
    <row r="76" spans="1:18" s="1" customFormat="1" ht="15.5" x14ac:dyDescent="0.35">
      <c r="A76" s="153" t="s">
        <v>154</v>
      </c>
      <c r="B76" s="137">
        <f>SUM(B4:B75)</f>
        <v>275598700.37236315</v>
      </c>
      <c r="C76" s="137">
        <f t="shared" ref="C76:H76" si="2">SUM(C4:C75)</f>
        <v>146798828.90575752</v>
      </c>
      <c r="D76" s="137">
        <f t="shared" si="2"/>
        <v>120862925.54474489</v>
      </c>
      <c r="E76" s="137">
        <f t="shared" si="2"/>
        <v>167754646.11799949</v>
      </c>
      <c r="F76" s="137">
        <f t="shared" si="2"/>
        <v>139213456.22772846</v>
      </c>
      <c r="G76" s="137">
        <f t="shared" si="2"/>
        <v>37289089.049766131</v>
      </c>
      <c r="H76" s="137">
        <f t="shared" si="2"/>
        <v>172687919.20390534</v>
      </c>
      <c r="I76" s="152"/>
      <c r="J76" s="137">
        <f>SUM(J4:J75)</f>
        <v>111262296.1935773</v>
      </c>
      <c r="K76" s="137">
        <f t="shared" ref="K76:M76" si="3">SUM(K4:K75)</f>
        <v>56430628.17046193</v>
      </c>
      <c r="L76" s="137">
        <f t="shared" si="3"/>
        <v>40185087.531497404</v>
      </c>
      <c r="M76" s="137">
        <f t="shared" si="3"/>
        <v>58633156.195210285</v>
      </c>
      <c r="N76" s="137">
        <f>SUM(N4:N75)</f>
        <v>48602055.963899024</v>
      </c>
      <c r="O76" s="137">
        <f t="shared" ref="O76" si="4">SUM(O4:O75)</f>
        <v>9349695.1850204263</v>
      </c>
      <c r="P76" s="137">
        <f t="shared" ref="P76:R76" si="5">SUM(P4:P75)</f>
        <v>28938935.901088677</v>
      </c>
      <c r="Q76" s="137"/>
      <c r="R76" s="137">
        <f t="shared" si="5"/>
        <v>1413607420.56302</v>
      </c>
    </row>
  </sheetData>
  <mergeCells count="2">
    <mergeCell ref="B1:H1"/>
    <mergeCell ref="J1:P1"/>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31" workbookViewId="0">
      <selection activeCell="I33" sqref="I33"/>
    </sheetView>
  </sheetViews>
  <sheetFormatPr defaultRowHeight="14.5" x14ac:dyDescent="0.35"/>
  <cols>
    <col min="1" max="1" width="18.453125" customWidth="1"/>
    <col min="2" max="2" width="24.36328125" customWidth="1"/>
    <col min="3" max="3" width="21.90625" customWidth="1"/>
    <col min="4" max="4" width="20.54296875" customWidth="1"/>
    <col min="5" max="5" width="30.54296875" customWidth="1"/>
  </cols>
  <sheetData>
    <row r="1" spans="1:5" ht="26.5" thickBot="1" x14ac:dyDescent="0.4">
      <c r="A1" s="234" t="s">
        <v>496</v>
      </c>
    </row>
    <row r="2" spans="1:5" ht="19" thickBot="1" x14ac:dyDescent="0.4">
      <c r="A2" s="14" t="s">
        <v>115</v>
      </c>
      <c r="B2" s="15" t="s">
        <v>116</v>
      </c>
      <c r="C2" s="15" t="s">
        <v>117</v>
      </c>
      <c r="D2" s="15" t="s">
        <v>118</v>
      </c>
      <c r="E2" s="15" t="s">
        <v>143</v>
      </c>
    </row>
    <row r="3" spans="1:5" ht="15" thickBot="1" x14ac:dyDescent="0.4">
      <c r="A3" s="10"/>
      <c r="B3" s="11"/>
      <c r="C3" s="11"/>
      <c r="D3" s="11"/>
      <c r="E3" s="11"/>
    </row>
    <row r="4" spans="1:5" ht="15" thickBot="1" x14ac:dyDescent="0.4">
      <c r="A4" s="16" t="s">
        <v>119</v>
      </c>
      <c r="B4" s="17"/>
      <c r="C4" s="17"/>
      <c r="D4" s="17"/>
      <c r="E4" s="17"/>
    </row>
    <row r="5" spans="1:5" ht="116.5" thickBot="1" x14ac:dyDescent="0.4">
      <c r="A5" s="221" t="s">
        <v>120</v>
      </c>
      <c r="B5" s="11" t="s">
        <v>497</v>
      </c>
      <c r="C5" s="11" t="s">
        <v>121</v>
      </c>
      <c r="D5" s="11" t="s">
        <v>230</v>
      </c>
      <c r="E5" s="11" t="s">
        <v>144</v>
      </c>
    </row>
    <row r="6" spans="1:5" ht="58.5" thickBot="1" x14ac:dyDescent="0.4">
      <c r="A6" s="221" t="s">
        <v>122</v>
      </c>
      <c r="B6" s="11" t="s">
        <v>551</v>
      </c>
      <c r="C6" s="11" t="s">
        <v>123</v>
      </c>
      <c r="D6" s="11" t="s">
        <v>498</v>
      </c>
      <c r="E6" s="11" t="s">
        <v>144</v>
      </c>
    </row>
    <row r="7" spans="1:5" ht="58.5" thickBot="1" x14ac:dyDescent="0.4">
      <c r="A7" s="221" t="s">
        <v>124</v>
      </c>
      <c r="B7" s="11" t="s">
        <v>231</v>
      </c>
      <c r="C7" s="11" t="s">
        <v>125</v>
      </c>
      <c r="D7" s="11"/>
      <c r="E7" s="11" t="s">
        <v>145</v>
      </c>
    </row>
    <row r="8" spans="1:5" ht="44" thickBot="1" x14ac:dyDescent="0.4">
      <c r="A8" s="221" t="s">
        <v>126</v>
      </c>
      <c r="B8" s="11" t="s">
        <v>232</v>
      </c>
      <c r="C8" s="11" t="s">
        <v>125</v>
      </c>
      <c r="D8" s="11"/>
      <c r="E8" s="11" t="s">
        <v>145</v>
      </c>
    </row>
    <row r="9" spans="1:5" ht="15" thickBot="1" x14ac:dyDescent="0.4">
      <c r="A9" s="10"/>
      <c r="B9" s="11"/>
      <c r="C9" s="11"/>
      <c r="D9" s="11"/>
      <c r="E9" s="11"/>
    </row>
    <row r="10" spans="1:5" ht="29.5" thickBot="1" x14ac:dyDescent="0.4">
      <c r="A10" s="18" t="s">
        <v>127</v>
      </c>
      <c r="B10" s="19"/>
      <c r="C10" s="19"/>
      <c r="D10" s="19"/>
      <c r="E10" s="19"/>
    </row>
    <row r="11" spans="1:5" ht="44" thickBot="1" x14ac:dyDescent="0.4">
      <c r="A11" s="221" t="s">
        <v>128</v>
      </c>
      <c r="B11" s="11" t="s">
        <v>146</v>
      </c>
      <c r="C11" s="11" t="s">
        <v>125</v>
      </c>
      <c r="D11" s="11"/>
      <c r="E11" s="11" t="s">
        <v>147</v>
      </c>
    </row>
    <row r="12" spans="1:5" ht="44" thickBot="1" x14ac:dyDescent="0.4">
      <c r="A12" s="221" t="s">
        <v>499</v>
      </c>
      <c r="B12" s="11" t="s">
        <v>148</v>
      </c>
      <c r="C12" s="11" t="s">
        <v>125</v>
      </c>
      <c r="D12" s="11"/>
      <c r="E12" s="11" t="s">
        <v>147</v>
      </c>
    </row>
    <row r="13" spans="1:5" ht="29.5" thickBot="1" x14ac:dyDescent="0.4">
      <c r="A13" s="221" t="s">
        <v>129</v>
      </c>
      <c r="B13" s="11" t="s">
        <v>149</v>
      </c>
      <c r="C13" s="11" t="s">
        <v>130</v>
      </c>
      <c r="D13" s="11"/>
      <c r="E13" s="11" t="s">
        <v>150</v>
      </c>
    </row>
    <row r="14" spans="1:5" ht="15" thickBot="1" x14ac:dyDescent="0.4">
      <c r="A14" s="221"/>
      <c r="B14" s="11"/>
      <c r="C14" s="11"/>
      <c r="D14" s="11"/>
      <c r="E14" s="11"/>
    </row>
    <row r="15" spans="1:5" ht="29.5" thickBot="1" x14ac:dyDescent="0.4">
      <c r="A15" s="16" t="s">
        <v>233</v>
      </c>
      <c r="B15" s="17"/>
      <c r="C15" s="17"/>
      <c r="D15" s="17"/>
      <c r="E15" s="17"/>
    </row>
    <row r="16" spans="1:5" ht="72" customHeight="1" thickBot="1" x14ac:dyDescent="0.4">
      <c r="A16" s="220" t="s">
        <v>151</v>
      </c>
      <c r="B16" s="11" t="s">
        <v>152</v>
      </c>
      <c r="C16" s="11" t="s">
        <v>131</v>
      </c>
      <c r="D16" s="11"/>
      <c r="E16" s="11" t="s">
        <v>145</v>
      </c>
    </row>
    <row r="17" spans="1:5" ht="67.25" customHeight="1" thickBot="1" x14ac:dyDescent="0.4">
      <c r="A17" s="13" t="s">
        <v>153</v>
      </c>
      <c r="B17" s="12" t="s">
        <v>500</v>
      </c>
      <c r="C17" s="11" t="s">
        <v>131</v>
      </c>
      <c r="D17" s="11"/>
      <c r="E17" s="11" t="s">
        <v>145</v>
      </c>
    </row>
    <row r="18" spans="1:5" ht="51.65" customHeight="1" x14ac:dyDescent="0.35">
      <c r="A18" s="265" t="s">
        <v>132</v>
      </c>
      <c r="B18" s="265" t="s">
        <v>234</v>
      </c>
      <c r="C18" s="267" t="s">
        <v>125</v>
      </c>
      <c r="D18" s="265"/>
      <c r="E18" s="265" t="s">
        <v>147</v>
      </c>
    </row>
    <row r="19" spans="1:5" ht="15" thickBot="1" x14ac:dyDescent="0.4">
      <c r="A19" s="266"/>
      <c r="B19" s="266"/>
      <c r="C19" s="268"/>
      <c r="D19" s="266"/>
      <c r="E19" s="266"/>
    </row>
    <row r="20" spans="1:5" ht="44" thickBot="1" x14ac:dyDescent="0.4">
      <c r="A20" s="221" t="s">
        <v>236</v>
      </c>
      <c r="B20" s="11" t="s">
        <v>237</v>
      </c>
      <c r="C20" s="11" t="s">
        <v>238</v>
      </c>
      <c r="D20" s="11"/>
      <c r="E20" s="12" t="s">
        <v>239</v>
      </c>
    </row>
    <row r="21" spans="1:5" ht="52.25" customHeight="1" thickBot="1" x14ac:dyDescent="0.4">
      <c r="A21" s="220" t="s">
        <v>133</v>
      </c>
      <c r="B21" s="11" t="s">
        <v>240</v>
      </c>
      <c r="C21" s="11" t="s">
        <v>501</v>
      </c>
      <c r="D21" s="11"/>
      <c r="E21" s="11" t="s">
        <v>147</v>
      </c>
    </row>
    <row r="22" spans="1:5" ht="112.75" customHeight="1" x14ac:dyDescent="0.35">
      <c r="A22" s="265" t="s">
        <v>134</v>
      </c>
      <c r="B22" s="265" t="s">
        <v>241</v>
      </c>
      <c r="C22" s="267" t="s">
        <v>125</v>
      </c>
      <c r="D22" s="265" t="s">
        <v>553</v>
      </c>
      <c r="E22" s="265" t="s">
        <v>147</v>
      </c>
    </row>
    <row r="23" spans="1:5" ht="16.75" customHeight="1" thickBot="1" x14ac:dyDescent="0.4">
      <c r="A23" s="266"/>
      <c r="B23" s="266"/>
      <c r="C23" s="268"/>
      <c r="D23" s="266"/>
      <c r="E23" s="266"/>
    </row>
    <row r="24" spans="1:5" ht="199.75" customHeight="1" x14ac:dyDescent="0.35">
      <c r="A24" s="265" t="s">
        <v>135</v>
      </c>
      <c r="B24" s="265" t="s">
        <v>502</v>
      </c>
      <c r="C24" s="267" t="s">
        <v>136</v>
      </c>
      <c r="D24" s="265" t="s">
        <v>242</v>
      </c>
      <c r="E24" s="267" t="s">
        <v>145</v>
      </c>
    </row>
    <row r="25" spans="1:5" ht="15" thickBot="1" x14ac:dyDescent="0.4">
      <c r="A25" s="266"/>
      <c r="B25" s="266"/>
      <c r="C25" s="268"/>
      <c r="D25" s="266"/>
      <c r="E25" s="268"/>
    </row>
    <row r="26" spans="1:5" ht="29.5" thickBot="1" x14ac:dyDescent="0.4">
      <c r="A26" s="16" t="s">
        <v>243</v>
      </c>
      <c r="B26" s="17"/>
      <c r="C26" s="17"/>
      <c r="D26" s="17"/>
      <c r="E26" s="17"/>
    </row>
    <row r="27" spans="1:5" ht="107.4" customHeight="1" thickBot="1" x14ac:dyDescent="0.4">
      <c r="A27" s="220" t="s">
        <v>151</v>
      </c>
      <c r="B27" s="11" t="s">
        <v>244</v>
      </c>
      <c r="C27" s="11" t="s">
        <v>131</v>
      </c>
      <c r="D27" s="11"/>
      <c r="E27" s="11" t="s">
        <v>145</v>
      </c>
    </row>
    <row r="28" spans="1:5" ht="55.25" customHeight="1" thickBot="1" x14ac:dyDescent="0.4">
      <c r="A28" s="13" t="s">
        <v>153</v>
      </c>
      <c r="B28" s="12" t="s">
        <v>552</v>
      </c>
      <c r="C28" s="11" t="s">
        <v>131</v>
      </c>
      <c r="D28" s="11"/>
      <c r="E28" s="11" t="s">
        <v>145</v>
      </c>
    </row>
    <row r="29" spans="1:5" ht="79.25" customHeight="1" x14ac:dyDescent="0.35">
      <c r="A29" s="265" t="s">
        <v>132</v>
      </c>
      <c r="B29" s="265" t="s">
        <v>245</v>
      </c>
      <c r="C29" s="267" t="s">
        <v>125</v>
      </c>
      <c r="D29" s="265"/>
      <c r="E29" s="265" t="s">
        <v>147</v>
      </c>
    </row>
    <row r="30" spans="1:5" ht="15" thickBot="1" x14ac:dyDescent="0.4">
      <c r="A30" s="266"/>
      <c r="B30" s="266"/>
      <c r="C30" s="268"/>
      <c r="D30" s="266"/>
      <c r="E30" s="266"/>
    </row>
    <row r="31" spans="1:5" ht="92.4" customHeight="1" thickBot="1" x14ac:dyDescent="0.4">
      <c r="A31" s="221" t="s">
        <v>236</v>
      </c>
      <c r="B31" s="11" t="s">
        <v>246</v>
      </c>
      <c r="C31" s="11" t="s">
        <v>238</v>
      </c>
      <c r="D31" s="11"/>
      <c r="E31" s="12" t="s">
        <v>239</v>
      </c>
    </row>
    <row r="32" spans="1:5" ht="58.5" thickBot="1" x14ac:dyDescent="0.4">
      <c r="A32" s="220" t="s">
        <v>133</v>
      </c>
      <c r="B32" s="11" t="s">
        <v>247</v>
      </c>
      <c r="C32" s="11" t="s">
        <v>125</v>
      </c>
      <c r="D32" s="11"/>
      <c r="E32" s="11" t="s">
        <v>147</v>
      </c>
    </row>
    <row r="33" spans="1:5" ht="141.65" customHeight="1" x14ac:dyDescent="0.35">
      <c r="A33" s="265" t="s">
        <v>134</v>
      </c>
      <c r="B33" s="265" t="s">
        <v>248</v>
      </c>
      <c r="C33" s="267" t="s">
        <v>235</v>
      </c>
      <c r="D33" s="265" t="s">
        <v>553</v>
      </c>
      <c r="E33" s="265" t="s">
        <v>147</v>
      </c>
    </row>
    <row r="34" spans="1:5" ht="15" thickBot="1" x14ac:dyDescent="0.4">
      <c r="A34" s="266"/>
      <c r="B34" s="266"/>
      <c r="C34" s="268"/>
      <c r="D34" s="266"/>
      <c r="E34" s="266"/>
    </row>
    <row r="35" spans="1:5" ht="233.4" customHeight="1" x14ac:dyDescent="0.35">
      <c r="A35" s="265" t="s">
        <v>135</v>
      </c>
      <c r="B35" s="265" t="s">
        <v>503</v>
      </c>
      <c r="C35" s="267" t="s">
        <v>136</v>
      </c>
      <c r="D35" s="265" t="s">
        <v>242</v>
      </c>
      <c r="E35" s="267" t="s">
        <v>145</v>
      </c>
    </row>
    <row r="36" spans="1:5" ht="15" thickBot="1" x14ac:dyDescent="0.4">
      <c r="A36" s="266"/>
      <c r="B36" s="266"/>
      <c r="C36" s="268"/>
      <c r="D36" s="266"/>
      <c r="E36" s="268"/>
    </row>
    <row r="37" spans="1:5" x14ac:dyDescent="0.35">
      <c r="A37" s="148"/>
    </row>
  </sheetData>
  <mergeCells count="30">
    <mergeCell ref="A33:A34"/>
    <mergeCell ref="B33:B34"/>
    <mergeCell ref="C33:C34"/>
    <mergeCell ref="D33:D34"/>
    <mergeCell ref="E33:E34"/>
    <mergeCell ref="A35:A36"/>
    <mergeCell ref="B35:B36"/>
    <mergeCell ref="C35:C36"/>
    <mergeCell ref="D35:D36"/>
    <mergeCell ref="E35:E36"/>
    <mergeCell ref="A24:A25"/>
    <mergeCell ref="B24:B25"/>
    <mergeCell ref="C24:C25"/>
    <mergeCell ref="D24:D25"/>
    <mergeCell ref="E24:E25"/>
    <mergeCell ref="A29:A30"/>
    <mergeCell ref="B29:B30"/>
    <mergeCell ref="C29:C30"/>
    <mergeCell ref="D29:D30"/>
    <mergeCell ref="E29:E30"/>
    <mergeCell ref="A18:A19"/>
    <mergeCell ref="B18:B19"/>
    <mergeCell ref="C18:C19"/>
    <mergeCell ref="D18:D19"/>
    <mergeCell ref="E18:E19"/>
    <mergeCell ref="A22:A23"/>
    <mergeCell ref="B22:B23"/>
    <mergeCell ref="C22:C23"/>
    <mergeCell ref="D22:D23"/>
    <mergeCell ref="E22:E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CR80"/>
  <sheetViews>
    <sheetView workbookViewId="0">
      <pane ySplit="3" topLeftCell="A43" activePane="bottomLeft" state="frozen"/>
      <selection activeCell="AI1" sqref="AI1"/>
      <selection pane="bottomLeft" activeCell="H67" sqref="H67"/>
    </sheetView>
  </sheetViews>
  <sheetFormatPr defaultColWidth="9" defaultRowHeight="12.5" outlineLevelCol="1" x14ac:dyDescent="0.25"/>
  <cols>
    <col min="1" max="1" width="30.453125" style="61" bestFit="1" customWidth="1"/>
    <col min="2" max="3" width="16.6328125" style="61" customWidth="1" outlineLevel="1"/>
    <col min="4" max="4" width="16.6328125" style="61" customWidth="1"/>
    <col min="5" max="18" width="16.6328125" style="61" customWidth="1" outlineLevel="1"/>
    <col min="19" max="19" width="16.6328125" style="61" customWidth="1"/>
    <col min="20" max="44" width="16.6328125" style="61" customWidth="1" outlineLevel="1"/>
    <col min="45" max="45" width="16.6328125" style="61" customWidth="1"/>
    <col min="46" max="69" width="16.6328125" style="61" customWidth="1" outlineLevel="1"/>
    <col min="70" max="70" width="16.6328125" style="61" customWidth="1"/>
    <col min="71" max="73" width="16.6328125" style="61" customWidth="1" outlineLevel="1"/>
    <col min="74" max="82" width="14.453125" style="61" customWidth="1" outlineLevel="1"/>
    <col min="83" max="88" width="16.6328125" style="61" customWidth="1" outlineLevel="1"/>
    <col min="89" max="92" width="14.453125" style="61" customWidth="1" outlineLevel="1"/>
    <col min="93" max="94" width="16.6328125" style="61" customWidth="1" outlineLevel="1"/>
    <col min="95" max="95" width="16.6328125" style="61" customWidth="1"/>
    <col min="96" max="16384" width="9" style="61"/>
  </cols>
  <sheetData>
    <row r="1" spans="1:95" ht="13" x14ac:dyDescent="0.3">
      <c r="B1" s="269" t="s">
        <v>250</v>
      </c>
      <c r="C1" s="270"/>
      <c r="D1" s="271"/>
      <c r="E1" s="272" t="s">
        <v>251</v>
      </c>
      <c r="F1" s="273"/>
      <c r="G1" s="273"/>
      <c r="H1" s="273"/>
      <c r="I1" s="273"/>
      <c r="J1" s="273"/>
      <c r="K1" s="273"/>
      <c r="L1" s="273"/>
      <c r="M1" s="273"/>
      <c r="N1" s="273"/>
      <c r="O1" s="273"/>
      <c r="P1" s="273"/>
      <c r="Q1" s="273"/>
      <c r="R1" s="273"/>
      <c r="S1" s="274"/>
      <c r="T1" s="269" t="s">
        <v>252</v>
      </c>
      <c r="U1" s="270"/>
      <c r="V1" s="270"/>
      <c r="W1" s="270"/>
      <c r="X1" s="270"/>
      <c r="Y1" s="270"/>
      <c r="Z1" s="275"/>
      <c r="AA1" s="275"/>
      <c r="AB1" s="275"/>
      <c r="AC1" s="275"/>
      <c r="AD1" s="275"/>
      <c r="AE1" s="275"/>
      <c r="AF1" s="270"/>
      <c r="AG1" s="270"/>
      <c r="AH1" s="270"/>
      <c r="AI1" s="270"/>
      <c r="AJ1" s="270"/>
      <c r="AK1" s="270"/>
      <c r="AL1" s="270"/>
      <c r="AM1" s="270"/>
      <c r="AN1" s="270"/>
      <c r="AO1" s="270"/>
      <c r="AP1" s="270"/>
      <c r="AQ1" s="270"/>
      <c r="AR1" s="270"/>
      <c r="AS1" s="271"/>
      <c r="AT1" s="272" t="s">
        <v>253</v>
      </c>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4"/>
      <c r="BS1" s="269" t="s">
        <v>254</v>
      </c>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1"/>
    </row>
    <row r="2" spans="1:95" x14ac:dyDescent="0.25">
      <c r="B2" s="62"/>
      <c r="C2" s="63"/>
      <c r="D2" s="64"/>
      <c r="E2" s="62"/>
      <c r="F2" s="63"/>
      <c r="G2" s="64"/>
      <c r="H2" s="65"/>
      <c r="I2" s="66"/>
      <c r="J2" s="67"/>
      <c r="K2" s="65"/>
      <c r="L2" s="66"/>
      <c r="M2" s="67"/>
      <c r="N2" s="68"/>
      <c r="O2" s="69"/>
      <c r="P2" s="70"/>
      <c r="Q2" s="65"/>
      <c r="R2" s="66"/>
      <c r="S2" s="67"/>
      <c r="T2" s="65"/>
      <c r="U2" s="66"/>
      <c r="V2" s="67"/>
      <c r="W2" s="65"/>
      <c r="X2" s="66"/>
      <c r="Y2" s="66"/>
      <c r="Z2" s="65"/>
      <c r="AA2" s="66"/>
      <c r="AB2" s="67"/>
      <c r="AC2" s="65"/>
      <c r="AD2" s="66"/>
      <c r="AE2" s="67"/>
      <c r="AF2" s="65"/>
      <c r="AG2" s="66"/>
      <c r="AH2" s="67"/>
      <c r="AI2" s="65"/>
      <c r="AJ2" s="66"/>
      <c r="AK2" s="67"/>
      <c r="AL2" s="65"/>
      <c r="AM2" s="66"/>
      <c r="AN2" s="66"/>
      <c r="AO2" s="67"/>
      <c r="AP2" s="65"/>
      <c r="AQ2" s="66"/>
      <c r="AR2" s="66"/>
      <c r="AS2" s="67"/>
      <c r="AT2" s="65"/>
      <c r="AU2" s="66"/>
      <c r="AV2" s="67"/>
      <c r="AW2" s="65"/>
      <c r="AX2" s="66"/>
      <c r="AY2" s="67"/>
      <c r="AZ2" s="65"/>
      <c r="BA2" s="66"/>
      <c r="BB2" s="67"/>
      <c r="BC2" s="65"/>
      <c r="BD2" s="66"/>
      <c r="BE2" s="67"/>
      <c r="BF2" s="65"/>
      <c r="BG2" s="66"/>
      <c r="BH2" s="67"/>
      <c r="BI2" s="65"/>
      <c r="BJ2" s="66"/>
      <c r="BK2" s="67"/>
      <c r="BL2" s="65"/>
      <c r="BM2" s="66"/>
      <c r="BN2" s="66"/>
      <c r="BO2" s="67"/>
      <c r="BP2" s="65"/>
      <c r="BQ2" s="66"/>
      <c r="BR2" s="67"/>
      <c r="BS2" s="65"/>
      <c r="BT2" s="66"/>
      <c r="BU2" s="67"/>
      <c r="BV2" s="65"/>
      <c r="BW2" s="66"/>
      <c r="BX2" s="67"/>
      <c r="BY2" s="65"/>
      <c r="BZ2" s="66"/>
      <c r="CA2" s="67"/>
      <c r="CB2" s="65"/>
      <c r="CC2" s="66"/>
      <c r="CD2" s="67"/>
      <c r="CE2" s="65"/>
      <c r="CF2" s="66"/>
      <c r="CG2" s="67"/>
      <c r="CH2" s="65"/>
      <c r="CI2" s="66"/>
      <c r="CJ2" s="67"/>
      <c r="CK2" s="65"/>
      <c r="CL2" s="66"/>
      <c r="CM2" s="66"/>
      <c r="CN2" s="67"/>
      <c r="CO2" s="65"/>
      <c r="CP2" s="66"/>
      <c r="CQ2" s="67"/>
    </row>
    <row r="3" spans="1:95" s="71" customFormat="1" ht="37.5" x14ac:dyDescent="0.25">
      <c r="A3" s="71" t="s">
        <v>38</v>
      </c>
      <c r="B3" s="72" t="s">
        <v>255</v>
      </c>
      <c r="C3" s="73" t="s">
        <v>256</v>
      </c>
      <c r="D3" s="74" t="s">
        <v>257</v>
      </c>
      <c r="E3" s="72" t="s">
        <v>258</v>
      </c>
      <c r="F3" s="73" t="s">
        <v>259</v>
      </c>
      <c r="G3" s="74" t="s">
        <v>260</v>
      </c>
      <c r="H3" s="72" t="s">
        <v>261</v>
      </c>
      <c r="I3" s="73" t="s">
        <v>262</v>
      </c>
      <c r="J3" s="74" t="s">
        <v>263</v>
      </c>
      <c r="K3" s="72" t="s">
        <v>264</v>
      </c>
      <c r="L3" s="73" t="s">
        <v>265</v>
      </c>
      <c r="M3" s="74" t="s">
        <v>266</v>
      </c>
      <c r="N3" s="75" t="s">
        <v>267</v>
      </c>
      <c r="O3" s="76" t="s">
        <v>268</v>
      </c>
      <c r="P3" s="77" t="s">
        <v>269</v>
      </c>
      <c r="Q3" s="72" t="s">
        <v>255</v>
      </c>
      <c r="R3" s="73" t="s">
        <v>256</v>
      </c>
      <c r="S3" s="74" t="s">
        <v>257</v>
      </c>
      <c r="T3" s="72" t="s">
        <v>258</v>
      </c>
      <c r="U3" s="73" t="s">
        <v>259</v>
      </c>
      <c r="V3" s="74" t="s">
        <v>260</v>
      </c>
      <c r="W3" s="72" t="s">
        <v>273</v>
      </c>
      <c r="X3" s="73" t="s">
        <v>274</v>
      </c>
      <c r="Y3" s="74" t="s">
        <v>275</v>
      </c>
      <c r="Z3" s="78" t="s">
        <v>264</v>
      </c>
      <c r="AA3" s="79" t="s">
        <v>265</v>
      </c>
      <c r="AB3" s="80" t="s">
        <v>266</v>
      </c>
      <c r="AC3" s="81" t="s">
        <v>267</v>
      </c>
      <c r="AD3" s="79" t="s">
        <v>268</v>
      </c>
      <c r="AE3" s="82" t="s">
        <v>269</v>
      </c>
      <c r="AF3" s="72" t="s">
        <v>270</v>
      </c>
      <c r="AG3" s="73" t="s">
        <v>271</v>
      </c>
      <c r="AH3" s="74" t="s">
        <v>272</v>
      </c>
      <c r="AI3" s="83" t="s">
        <v>276</v>
      </c>
      <c r="AJ3" s="84" t="s">
        <v>277</v>
      </c>
      <c r="AK3" s="85" t="s">
        <v>278</v>
      </c>
      <c r="AL3" s="81" t="s">
        <v>111</v>
      </c>
      <c r="AM3" s="81" t="s">
        <v>112</v>
      </c>
      <c r="AN3" s="81" t="s">
        <v>113</v>
      </c>
      <c r="AO3" s="86" t="s">
        <v>114</v>
      </c>
      <c r="AP3" s="83" t="s">
        <v>279</v>
      </c>
      <c r="AQ3" s="84" t="s">
        <v>280</v>
      </c>
      <c r="AR3" s="161" t="s">
        <v>455</v>
      </c>
      <c r="AS3" s="85" t="s">
        <v>281</v>
      </c>
      <c r="AT3" s="72" t="s">
        <v>258</v>
      </c>
      <c r="AU3" s="73" t="s">
        <v>259</v>
      </c>
      <c r="AV3" s="74" t="s">
        <v>260</v>
      </c>
      <c r="AW3" s="72" t="s">
        <v>273</v>
      </c>
      <c r="AX3" s="73" t="s">
        <v>274</v>
      </c>
      <c r="AY3" s="74" t="s">
        <v>275</v>
      </c>
      <c r="AZ3" s="72" t="s">
        <v>264</v>
      </c>
      <c r="BA3" s="73" t="s">
        <v>265</v>
      </c>
      <c r="BB3" s="74" t="s">
        <v>266</v>
      </c>
      <c r="BC3" s="72" t="s">
        <v>267</v>
      </c>
      <c r="BD3" s="73" t="s">
        <v>268</v>
      </c>
      <c r="BE3" s="74" t="s">
        <v>269</v>
      </c>
      <c r="BF3" s="72" t="s">
        <v>270</v>
      </c>
      <c r="BG3" s="73" t="s">
        <v>271</v>
      </c>
      <c r="BH3" s="74" t="s">
        <v>272</v>
      </c>
      <c r="BI3" s="83" t="s">
        <v>276</v>
      </c>
      <c r="BJ3" s="84" t="s">
        <v>277</v>
      </c>
      <c r="BK3" s="85" t="s">
        <v>278</v>
      </c>
      <c r="BL3" s="72" t="s">
        <v>111</v>
      </c>
      <c r="BM3" s="73" t="s">
        <v>112</v>
      </c>
      <c r="BN3" s="73" t="s">
        <v>113</v>
      </c>
      <c r="BO3" s="74" t="s">
        <v>114</v>
      </c>
      <c r="BP3" s="83" t="s">
        <v>279</v>
      </c>
      <c r="BQ3" s="84" t="s">
        <v>280</v>
      </c>
      <c r="BR3" s="85" t="s">
        <v>281</v>
      </c>
      <c r="BS3" s="72" t="s">
        <v>282</v>
      </c>
      <c r="BT3" s="73" t="s">
        <v>283</v>
      </c>
      <c r="BU3" s="74" t="s">
        <v>284</v>
      </c>
      <c r="BV3" s="72" t="s">
        <v>273</v>
      </c>
      <c r="BW3" s="73" t="s">
        <v>274</v>
      </c>
      <c r="BX3" s="74" t="s">
        <v>275</v>
      </c>
      <c r="BY3" s="72" t="s">
        <v>264</v>
      </c>
      <c r="BZ3" s="73" t="s">
        <v>265</v>
      </c>
      <c r="CA3" s="74" t="s">
        <v>266</v>
      </c>
      <c r="CB3" s="72" t="s">
        <v>267</v>
      </c>
      <c r="CC3" s="73" t="s">
        <v>268</v>
      </c>
      <c r="CD3" s="74" t="s">
        <v>269</v>
      </c>
      <c r="CE3" s="72" t="s">
        <v>270</v>
      </c>
      <c r="CF3" s="73" t="s">
        <v>271</v>
      </c>
      <c r="CG3" s="74" t="s">
        <v>272</v>
      </c>
      <c r="CH3" s="83" t="s">
        <v>276</v>
      </c>
      <c r="CI3" s="84" t="s">
        <v>277</v>
      </c>
      <c r="CJ3" s="85" t="s">
        <v>278</v>
      </c>
      <c r="CK3" s="72" t="s">
        <v>111</v>
      </c>
      <c r="CL3" s="73" t="s">
        <v>112</v>
      </c>
      <c r="CM3" s="74" t="s">
        <v>113</v>
      </c>
      <c r="CN3" s="74" t="s">
        <v>114</v>
      </c>
      <c r="CO3" s="83" t="s">
        <v>279</v>
      </c>
      <c r="CP3" s="84" t="s">
        <v>280</v>
      </c>
      <c r="CQ3" s="85" t="s">
        <v>281</v>
      </c>
    </row>
    <row r="4" spans="1:95" ht="14.5" x14ac:dyDescent="0.35">
      <c r="A4" s="61" t="s">
        <v>370</v>
      </c>
      <c r="B4" s="87">
        <v>9202.61</v>
      </c>
      <c r="C4" s="88">
        <v>499.92</v>
      </c>
      <c r="D4" s="89">
        <v>319.04000000000002</v>
      </c>
      <c r="E4" s="87">
        <v>9202.61</v>
      </c>
      <c r="F4" s="88">
        <v>499.92</v>
      </c>
      <c r="G4" s="89">
        <v>319.04000000000002</v>
      </c>
      <c r="H4" s="87">
        <v>0</v>
      </c>
      <c r="I4" s="88">
        <v>0</v>
      </c>
      <c r="J4" s="89">
        <v>0</v>
      </c>
      <c r="K4" s="87">
        <v>0</v>
      </c>
      <c r="L4" s="88">
        <v>0</v>
      </c>
      <c r="M4" s="89">
        <v>0</v>
      </c>
      <c r="N4" s="87">
        <v>-682.71</v>
      </c>
      <c r="O4" s="88">
        <v>-56.82</v>
      </c>
      <c r="P4" s="89">
        <v>-73.72</v>
      </c>
      <c r="Q4" s="62">
        <f>+E4+H4+K4+N4</f>
        <v>8519.9000000000015</v>
      </c>
      <c r="R4" s="63">
        <f t="shared" ref="R4:S67" si="0">+F4+I4+L4+O4</f>
        <v>443.1</v>
      </c>
      <c r="S4" s="64">
        <f t="shared" si="0"/>
        <v>245.32000000000002</v>
      </c>
      <c r="T4" s="62">
        <f>+Q4</f>
        <v>8519.9000000000015</v>
      </c>
      <c r="U4" s="63">
        <f t="shared" ref="U4:V67" si="1">+R4</f>
        <v>443.1</v>
      </c>
      <c r="V4" s="64">
        <f t="shared" si="1"/>
        <v>245.32000000000002</v>
      </c>
      <c r="W4" s="62">
        <f>+H4</f>
        <v>0</v>
      </c>
      <c r="X4" s="63">
        <f t="shared" ref="X4:Y67" si="2">+I4</f>
        <v>0</v>
      </c>
      <c r="Y4" s="64">
        <f t="shared" si="2"/>
        <v>0</v>
      </c>
      <c r="Z4" s="90">
        <v>653.74234000000001</v>
      </c>
      <c r="AA4" s="91">
        <v>55.313459999999999</v>
      </c>
      <c r="AB4" s="90">
        <v>72.885912000000005</v>
      </c>
      <c r="AC4" s="92">
        <v>0</v>
      </c>
      <c r="AD4" s="93">
        <v>0</v>
      </c>
      <c r="AE4" s="92">
        <v>0</v>
      </c>
      <c r="AF4" s="62">
        <f>+T4+W4+Z4+AC4</f>
        <v>9173.6423400000022</v>
      </c>
      <c r="AG4" s="63">
        <f t="shared" ref="AG4:AH67" si="3">+U4+X4+AA4+AD4</f>
        <v>498.41346000000004</v>
      </c>
      <c r="AH4" s="64">
        <f t="shared" si="3"/>
        <v>318.20591200000001</v>
      </c>
      <c r="AI4" s="94">
        <f>(B4+Q4+AF4-W4)/3</f>
        <v>8965.3841133333353</v>
      </c>
      <c r="AJ4" s="95">
        <f t="shared" ref="AJ4:AK67" si="4">(C4+R4+AG4-X4)/3</f>
        <v>480.47782000000001</v>
      </c>
      <c r="AK4" s="96">
        <f t="shared" si="4"/>
        <v>294.18863733333336</v>
      </c>
      <c r="AL4" s="97">
        <v>425.76</v>
      </c>
      <c r="AM4" s="98"/>
      <c r="AN4" s="98">
        <v>106.5</v>
      </c>
      <c r="AO4" s="99">
        <v>0</v>
      </c>
      <c r="AP4" s="62">
        <f>+AI4+W4-AL4-AN4</f>
        <v>8433.1241133333351</v>
      </c>
      <c r="AQ4" s="63">
        <f>+AJ4+X4-AM4-AO4</f>
        <v>480.47782000000001</v>
      </c>
      <c r="AR4" s="63">
        <f>AK4+Y4</f>
        <v>294.18863733333336</v>
      </c>
      <c r="AS4" s="64">
        <f t="shared" ref="AS4:AS67" si="5">+V4+Y4+AB4+AE4</f>
        <v>318.20591200000001</v>
      </c>
      <c r="AT4" s="62">
        <f t="shared" ref="AT4:AT35" si="6">+AF4</f>
        <v>9173.6423400000022</v>
      </c>
      <c r="AU4" s="62">
        <f t="shared" ref="AU4:AU35" si="7">+AG4</f>
        <v>498.41346000000004</v>
      </c>
      <c r="AV4" s="100">
        <f t="shared" ref="AV4:AV35" si="8">+AH4</f>
        <v>318.20591200000001</v>
      </c>
      <c r="AW4" s="62">
        <f t="shared" ref="AW4:AW35" si="9">+W4</f>
        <v>0</v>
      </c>
      <c r="AX4" s="63">
        <f t="shared" ref="AX4:AX35" si="10">+X4</f>
        <v>0</v>
      </c>
      <c r="AY4" s="64">
        <f t="shared" ref="AY4:AY35" si="11">+Y4</f>
        <v>0</v>
      </c>
      <c r="AZ4" s="87">
        <v>0</v>
      </c>
      <c r="BA4" s="88">
        <v>0</v>
      </c>
      <c r="BB4" s="89">
        <v>0</v>
      </c>
      <c r="BC4" s="87">
        <v>-31.190383955999998</v>
      </c>
      <c r="BD4" s="88">
        <v>-1.6946057640000001</v>
      </c>
      <c r="BE4" s="89">
        <v>-1.0819001008</v>
      </c>
      <c r="BF4" s="62">
        <f>+AT4+AW4+AZ4+BC4</f>
        <v>9142.4519560440021</v>
      </c>
      <c r="BG4" s="63">
        <f t="shared" ref="BG4:BH67" si="12">+AU4+AX4+BA4+BD4</f>
        <v>496.71885423600003</v>
      </c>
      <c r="BH4" s="64">
        <f t="shared" si="12"/>
        <v>317.12401189920001</v>
      </c>
      <c r="BI4" s="94">
        <f t="shared" ref="BI4:BI35" si="13">(Q4+AF4+BF4-AW4-AZ4)/3</f>
        <v>8945.3314320146692</v>
      </c>
      <c r="BJ4" s="95">
        <f t="shared" ref="BJ4:BJ35" si="14">(R4+AG4+BG4-AX4-BA4)/3</f>
        <v>479.41077141200003</v>
      </c>
      <c r="BK4" s="96">
        <f t="shared" ref="BK4:BK35" si="15">(S4+AH4+BH4-AY4-BB4)/3</f>
        <v>293.54997463306671</v>
      </c>
      <c r="BL4" s="87">
        <v>425.76</v>
      </c>
      <c r="BM4" s="88"/>
      <c r="BN4" s="88">
        <v>106.5</v>
      </c>
      <c r="BO4" s="89">
        <v>0</v>
      </c>
      <c r="BP4" s="62">
        <f>+BI4+AW4+AZ4-BL4-BN4</f>
        <v>8413.071432014669</v>
      </c>
      <c r="BQ4" s="63">
        <f t="shared" ref="BQ4:BQ67" si="16">+BJ4+AX4+BA4-BM4-BO4</f>
        <v>479.41077141200003</v>
      </c>
      <c r="BR4" s="64">
        <f>+BK4+AY4+BB4</f>
        <v>293.54997463306671</v>
      </c>
      <c r="BS4" s="62">
        <f t="shared" ref="BS4:BU67" si="17">+BF4</f>
        <v>9142.4519560440021</v>
      </c>
      <c r="BT4" s="62">
        <f t="shared" si="17"/>
        <v>496.71885423600003</v>
      </c>
      <c r="BU4" s="100">
        <f t="shared" si="17"/>
        <v>317.12401189920001</v>
      </c>
      <c r="BV4" s="62">
        <f>+AW4</f>
        <v>0</v>
      </c>
      <c r="BW4" s="63">
        <f t="shared" ref="BW4:BY19" si="18">+AX4</f>
        <v>0</v>
      </c>
      <c r="BX4" s="64">
        <f t="shared" si="18"/>
        <v>0</v>
      </c>
      <c r="BY4" s="62">
        <f>+AZ4</f>
        <v>0</v>
      </c>
      <c r="BZ4" s="62">
        <f t="shared" ref="BZ4:CD67" si="19">+BA4</f>
        <v>0</v>
      </c>
      <c r="CA4" s="100">
        <f t="shared" si="19"/>
        <v>0</v>
      </c>
      <c r="CB4" s="101">
        <f>-(BS4*0.0034)</f>
        <v>-31.084336650549606</v>
      </c>
      <c r="CC4" s="101">
        <f>-(BT4*0.0034)</f>
        <v>-1.6888441044024001</v>
      </c>
      <c r="CD4" s="102">
        <f>-(BU4*0.0034)</f>
        <v>-1.07822164045728</v>
      </c>
      <c r="CE4" s="62">
        <f>+BS4+BV4+BY4+CB4</f>
        <v>9111.3676193934534</v>
      </c>
      <c r="CF4" s="63">
        <f t="shared" ref="CF4:CG67" si="20">+BT4+BW4+BZ4+CC4</f>
        <v>495.03001013159763</v>
      </c>
      <c r="CG4" s="64">
        <f t="shared" si="20"/>
        <v>316.04579025874273</v>
      </c>
      <c r="CH4" s="94">
        <f t="shared" ref="CH4:CH35" si="21">(+AI4+W4+BI4+AW4+AZ4+CE4-BV4-BY4)/3</f>
        <v>9007.3610549138193</v>
      </c>
      <c r="CI4" s="95">
        <f t="shared" ref="CI4:CI35" si="22">(+AJ4+X4+BJ4+AX4+BA4+CF4-BW4-BZ4)/3</f>
        <v>484.97286718119926</v>
      </c>
      <c r="CJ4" s="96">
        <f t="shared" ref="CJ4:CJ35" si="23">(+AK4+Y4+BK4+AY4+BB4+CG4-BX4-CA4)/3</f>
        <v>301.26146740838095</v>
      </c>
      <c r="CK4" s="87">
        <v>425.76</v>
      </c>
      <c r="CL4" s="88"/>
      <c r="CM4" s="88">
        <v>106.5</v>
      </c>
      <c r="CN4" s="89">
        <v>0</v>
      </c>
      <c r="CO4" s="62">
        <f>+CH4+BV4+BY4-CK4-CM4</f>
        <v>8475.1010549138191</v>
      </c>
      <c r="CP4" s="63">
        <f t="shared" ref="CP4:CP67" si="24">+CI4+BW4+BZ4-CL4-CN4</f>
        <v>484.97286718119926</v>
      </c>
      <c r="CQ4" s="64">
        <f>+CJ4+BX4+CA4</f>
        <v>301.26146740838095</v>
      </c>
    </row>
    <row r="5" spans="1:95" ht="14.5" x14ac:dyDescent="0.35">
      <c r="A5" s="61" t="s">
        <v>369</v>
      </c>
      <c r="B5" s="87">
        <v>10523.45</v>
      </c>
      <c r="C5" s="88">
        <v>4.5</v>
      </c>
      <c r="D5" s="89">
        <v>39.28</v>
      </c>
      <c r="E5" s="87">
        <v>10523.449999999999</v>
      </c>
      <c r="F5" s="88">
        <v>4.5</v>
      </c>
      <c r="G5" s="89">
        <v>39.28</v>
      </c>
      <c r="H5" s="87">
        <v>0</v>
      </c>
      <c r="I5" s="88">
        <v>0</v>
      </c>
      <c r="J5" s="89">
        <v>0</v>
      </c>
      <c r="K5" s="87">
        <v>0</v>
      </c>
      <c r="L5" s="88">
        <v>0</v>
      </c>
      <c r="M5" s="89">
        <v>0</v>
      </c>
      <c r="N5" s="87">
        <v>-40.68</v>
      </c>
      <c r="O5" s="88">
        <v>38.74</v>
      </c>
      <c r="P5" s="89">
        <v>2.34</v>
      </c>
      <c r="Q5" s="62">
        <f t="shared" ref="Q5:S68" si="25">+E5+H5+K5+N5</f>
        <v>10482.769999999999</v>
      </c>
      <c r="R5" s="63">
        <f t="shared" si="0"/>
        <v>43.24</v>
      </c>
      <c r="S5" s="64">
        <f t="shared" si="0"/>
        <v>41.620000000000005</v>
      </c>
      <c r="T5" s="62">
        <f t="shared" ref="T5:V68" si="26">+Q5</f>
        <v>10482.769999999999</v>
      </c>
      <c r="U5" s="63">
        <f t="shared" si="1"/>
        <v>43.24</v>
      </c>
      <c r="V5" s="64">
        <f t="shared" si="1"/>
        <v>41.620000000000005</v>
      </c>
      <c r="W5" s="62">
        <f t="shared" ref="W5:Y68" si="27">+H5</f>
        <v>0</v>
      </c>
      <c r="X5" s="63">
        <f t="shared" si="2"/>
        <v>0</v>
      </c>
      <c r="Y5" s="64">
        <f t="shared" si="2"/>
        <v>0</v>
      </c>
      <c r="Z5" s="103">
        <v>0</v>
      </c>
      <c r="AA5" s="103">
        <v>0</v>
      </c>
      <c r="AB5" s="103">
        <v>0</v>
      </c>
      <c r="AC5" s="104">
        <v>-40.68</v>
      </c>
      <c r="AD5" s="104">
        <v>38.74</v>
      </c>
      <c r="AE5" s="104">
        <v>2.34</v>
      </c>
      <c r="AF5" s="62">
        <f t="shared" ref="AF5:AH68" si="28">+T5+W5+Z5+AC5</f>
        <v>10442.089999999998</v>
      </c>
      <c r="AG5" s="63">
        <f t="shared" si="3"/>
        <v>81.98</v>
      </c>
      <c r="AH5" s="64">
        <f t="shared" si="3"/>
        <v>43.960000000000008</v>
      </c>
      <c r="AI5" s="94">
        <f t="shared" ref="AI5:AK68" si="29">(B5+Q5+AF5-W5)/3</f>
        <v>10482.769999999999</v>
      </c>
      <c r="AJ5" s="95">
        <f t="shared" si="4"/>
        <v>43.24</v>
      </c>
      <c r="AK5" s="96">
        <f t="shared" si="4"/>
        <v>41.620000000000005</v>
      </c>
      <c r="AL5" s="97">
        <v>302.60000000000002</v>
      </c>
      <c r="AM5" s="98"/>
      <c r="AN5" s="98">
        <v>8.68</v>
      </c>
      <c r="AO5" s="99">
        <v>0</v>
      </c>
      <c r="AP5" s="62">
        <f t="shared" ref="AP5:AQ68" si="30">+AI5+W5-AL5-AN5</f>
        <v>10171.489999999998</v>
      </c>
      <c r="AQ5" s="63">
        <f t="shared" si="30"/>
        <v>43.24</v>
      </c>
      <c r="AR5" s="63">
        <f t="shared" ref="AR5:AR68" si="31">AK5+Y5</f>
        <v>41.620000000000005</v>
      </c>
      <c r="AS5" s="64">
        <f t="shared" si="5"/>
        <v>43.960000000000008</v>
      </c>
      <c r="AT5" s="62">
        <f t="shared" si="6"/>
        <v>10442.089999999998</v>
      </c>
      <c r="AU5" s="62">
        <f t="shared" si="7"/>
        <v>81.98</v>
      </c>
      <c r="AV5" s="100">
        <f t="shared" si="8"/>
        <v>43.960000000000008</v>
      </c>
      <c r="AW5" s="62">
        <f t="shared" si="9"/>
        <v>0</v>
      </c>
      <c r="AX5" s="63">
        <f t="shared" si="10"/>
        <v>0</v>
      </c>
      <c r="AY5" s="64">
        <f t="shared" si="11"/>
        <v>0</v>
      </c>
      <c r="AZ5" s="87">
        <v>0</v>
      </c>
      <c r="BA5" s="88">
        <v>0</v>
      </c>
      <c r="BB5" s="89">
        <v>0</v>
      </c>
      <c r="BC5" s="87">
        <v>-40.68</v>
      </c>
      <c r="BD5" s="88">
        <v>38.74</v>
      </c>
      <c r="BE5" s="89">
        <v>2.34</v>
      </c>
      <c r="BF5" s="62">
        <f t="shared" ref="BF5:BH68" si="32">+AT5+AW5+AZ5+BC5</f>
        <v>10401.409999999998</v>
      </c>
      <c r="BG5" s="63">
        <f t="shared" si="12"/>
        <v>120.72</v>
      </c>
      <c r="BH5" s="64">
        <f t="shared" si="12"/>
        <v>46.300000000000011</v>
      </c>
      <c r="BI5" s="94">
        <f t="shared" si="13"/>
        <v>10442.089999999998</v>
      </c>
      <c r="BJ5" s="95">
        <f t="shared" si="14"/>
        <v>81.98</v>
      </c>
      <c r="BK5" s="96">
        <f t="shared" si="15"/>
        <v>43.960000000000008</v>
      </c>
      <c r="BL5" s="87">
        <v>302.60000000000002</v>
      </c>
      <c r="BM5" s="88"/>
      <c r="BN5" s="88">
        <v>8.68</v>
      </c>
      <c r="BO5" s="89">
        <v>0</v>
      </c>
      <c r="BP5" s="62">
        <f t="shared" ref="BP5:BQ68" si="33">+BI5+AW5+AZ5-BL5-BN5</f>
        <v>10130.809999999998</v>
      </c>
      <c r="BQ5" s="63">
        <f t="shared" si="16"/>
        <v>81.98</v>
      </c>
      <c r="BR5" s="64">
        <f t="shared" ref="BR5:BR68" si="34">+BK5+AY5+BB5</f>
        <v>43.960000000000008</v>
      </c>
      <c r="BS5" s="62">
        <f t="shared" si="17"/>
        <v>10401.409999999998</v>
      </c>
      <c r="BT5" s="62">
        <f t="shared" si="17"/>
        <v>120.72</v>
      </c>
      <c r="BU5" s="100">
        <f t="shared" si="17"/>
        <v>46.300000000000011</v>
      </c>
      <c r="BV5" s="62">
        <f t="shared" ref="BV5:BY68" si="35">+AW5</f>
        <v>0</v>
      </c>
      <c r="BW5" s="63">
        <f t="shared" si="18"/>
        <v>0</v>
      </c>
      <c r="BX5" s="64">
        <f t="shared" si="18"/>
        <v>0</v>
      </c>
      <c r="BY5" s="87">
        <v>0</v>
      </c>
      <c r="BZ5" s="88">
        <v>0</v>
      </c>
      <c r="CA5" s="89">
        <v>0</v>
      </c>
      <c r="CB5" s="62">
        <f>+BC5</f>
        <v>-40.68</v>
      </c>
      <c r="CC5" s="62">
        <f>+BD5</f>
        <v>38.74</v>
      </c>
      <c r="CD5" s="100">
        <f>+BE5</f>
        <v>2.34</v>
      </c>
      <c r="CE5" s="62">
        <f t="shared" ref="CE5:CG68" si="36">+BS5+BV5+BY5+CB5</f>
        <v>10360.729999999998</v>
      </c>
      <c r="CF5" s="63">
        <f t="shared" si="20"/>
        <v>159.46</v>
      </c>
      <c r="CG5" s="64">
        <f t="shared" si="20"/>
        <v>48.640000000000015</v>
      </c>
      <c r="CH5" s="94">
        <f t="shared" si="21"/>
        <v>10428.529999999999</v>
      </c>
      <c r="CI5" s="95">
        <f t="shared" si="22"/>
        <v>94.893333333333331</v>
      </c>
      <c r="CJ5" s="96">
        <f t="shared" si="23"/>
        <v>44.740000000000009</v>
      </c>
      <c r="CK5" s="87">
        <v>302.60000000000002</v>
      </c>
      <c r="CL5" s="88"/>
      <c r="CM5" s="88">
        <v>8.68</v>
      </c>
      <c r="CN5" s="89">
        <v>0</v>
      </c>
      <c r="CO5" s="62">
        <f t="shared" ref="CO5:CP68" si="37">+CH5+BV5+BY5-CK5-CM5</f>
        <v>10117.249999999998</v>
      </c>
      <c r="CP5" s="63">
        <f t="shared" si="24"/>
        <v>94.893333333333331</v>
      </c>
      <c r="CQ5" s="64">
        <f t="shared" ref="CQ5:CQ68" si="38">+CJ5+BX5+CA5</f>
        <v>44.740000000000009</v>
      </c>
    </row>
    <row r="6" spans="1:95" ht="14.5" x14ac:dyDescent="0.35">
      <c r="A6" s="61" t="s">
        <v>371</v>
      </c>
      <c r="B6" s="87">
        <v>2565.15</v>
      </c>
      <c r="C6" s="88">
        <v>17.72</v>
      </c>
      <c r="D6" s="89">
        <v>0</v>
      </c>
      <c r="E6" s="87">
        <v>2565.1499069999995</v>
      </c>
      <c r="F6" s="88">
        <v>17.72</v>
      </c>
      <c r="G6" s="89">
        <v>0</v>
      </c>
      <c r="H6" s="87">
        <v>0</v>
      </c>
      <c r="I6" s="88">
        <v>0</v>
      </c>
      <c r="J6" s="89">
        <v>0</v>
      </c>
      <c r="K6" s="87">
        <v>0</v>
      </c>
      <c r="L6" s="88">
        <v>0</v>
      </c>
      <c r="M6" s="89">
        <v>0</v>
      </c>
      <c r="N6" s="87">
        <v>-9.48</v>
      </c>
      <c r="O6" s="88">
        <v>8.68</v>
      </c>
      <c r="P6" s="89">
        <v>0</v>
      </c>
      <c r="Q6" s="62">
        <f t="shared" si="25"/>
        <v>2555.6699069999995</v>
      </c>
      <c r="R6" s="63">
        <f t="shared" si="0"/>
        <v>26.4</v>
      </c>
      <c r="S6" s="64">
        <f t="shared" si="0"/>
        <v>0</v>
      </c>
      <c r="T6" s="62">
        <f t="shared" si="26"/>
        <v>2555.6699069999995</v>
      </c>
      <c r="U6" s="63">
        <f t="shared" si="1"/>
        <v>26.4</v>
      </c>
      <c r="V6" s="64">
        <f t="shared" si="1"/>
        <v>0</v>
      </c>
      <c r="W6" s="62">
        <f t="shared" si="27"/>
        <v>0</v>
      </c>
      <c r="X6" s="63">
        <f t="shared" si="2"/>
        <v>0</v>
      </c>
      <c r="Y6" s="64">
        <f t="shared" si="2"/>
        <v>0</v>
      </c>
      <c r="Z6" s="103">
        <v>0</v>
      </c>
      <c r="AA6" s="103">
        <v>0</v>
      </c>
      <c r="AB6" s="103">
        <v>0</v>
      </c>
      <c r="AC6" s="104">
        <v>-9.48</v>
      </c>
      <c r="AD6" s="104">
        <v>8.68</v>
      </c>
      <c r="AE6" s="104">
        <v>0</v>
      </c>
      <c r="AF6" s="62">
        <f t="shared" si="28"/>
        <v>2546.1899069999995</v>
      </c>
      <c r="AG6" s="63">
        <f t="shared" si="3"/>
        <v>35.08</v>
      </c>
      <c r="AH6" s="64">
        <f t="shared" si="3"/>
        <v>0</v>
      </c>
      <c r="AI6" s="94">
        <f t="shared" si="29"/>
        <v>2555.6699379999995</v>
      </c>
      <c r="AJ6" s="95">
        <f t="shared" si="4"/>
        <v>26.399999999999995</v>
      </c>
      <c r="AK6" s="96">
        <f t="shared" si="4"/>
        <v>0</v>
      </c>
      <c r="AL6" s="97">
        <v>39.21</v>
      </c>
      <c r="AM6" s="98"/>
      <c r="AN6" s="98"/>
      <c r="AO6" s="99"/>
      <c r="AP6" s="62">
        <f t="shared" si="30"/>
        <v>2516.4599379999995</v>
      </c>
      <c r="AQ6" s="63">
        <f t="shared" si="30"/>
        <v>26.399999999999995</v>
      </c>
      <c r="AR6" s="63">
        <f t="shared" si="31"/>
        <v>0</v>
      </c>
      <c r="AS6" s="64">
        <f t="shared" si="5"/>
        <v>0</v>
      </c>
      <c r="AT6" s="62">
        <f t="shared" si="6"/>
        <v>2546.1899069999995</v>
      </c>
      <c r="AU6" s="62">
        <f t="shared" si="7"/>
        <v>35.08</v>
      </c>
      <c r="AV6" s="100">
        <f t="shared" si="8"/>
        <v>0</v>
      </c>
      <c r="AW6" s="62">
        <f t="shared" si="9"/>
        <v>0</v>
      </c>
      <c r="AX6" s="63">
        <f t="shared" si="10"/>
        <v>0</v>
      </c>
      <c r="AY6" s="64">
        <f t="shared" si="11"/>
        <v>0</v>
      </c>
      <c r="AZ6" s="87">
        <v>0</v>
      </c>
      <c r="BA6" s="88">
        <v>0</v>
      </c>
      <c r="BB6" s="89">
        <v>0</v>
      </c>
      <c r="BC6" s="87">
        <v>-9.48</v>
      </c>
      <c r="BD6" s="88">
        <v>8.68</v>
      </c>
      <c r="BE6" s="89">
        <v>0</v>
      </c>
      <c r="BF6" s="62">
        <f t="shared" si="32"/>
        <v>2536.7099069999995</v>
      </c>
      <c r="BG6" s="63">
        <f t="shared" si="12"/>
        <v>43.76</v>
      </c>
      <c r="BH6" s="64">
        <f t="shared" si="12"/>
        <v>0</v>
      </c>
      <c r="BI6" s="94">
        <f t="shared" si="13"/>
        <v>2546.1899069999995</v>
      </c>
      <c r="BJ6" s="95">
        <f t="shared" si="14"/>
        <v>35.08</v>
      </c>
      <c r="BK6" s="96">
        <f t="shared" si="15"/>
        <v>0</v>
      </c>
      <c r="BL6" s="87">
        <v>39.21</v>
      </c>
      <c r="BM6" s="88"/>
      <c r="BN6" s="88"/>
      <c r="BO6" s="89"/>
      <c r="BP6" s="62">
        <f t="shared" si="33"/>
        <v>2506.9799069999995</v>
      </c>
      <c r="BQ6" s="63">
        <f t="shared" si="16"/>
        <v>35.08</v>
      </c>
      <c r="BR6" s="64">
        <f t="shared" si="34"/>
        <v>0</v>
      </c>
      <c r="BS6" s="62">
        <f t="shared" si="17"/>
        <v>2536.7099069999995</v>
      </c>
      <c r="BT6" s="62">
        <f t="shared" si="17"/>
        <v>43.76</v>
      </c>
      <c r="BU6" s="100">
        <f t="shared" si="17"/>
        <v>0</v>
      </c>
      <c r="BV6" s="62">
        <f t="shared" si="35"/>
        <v>0</v>
      </c>
      <c r="BW6" s="63">
        <f t="shared" si="18"/>
        <v>0</v>
      </c>
      <c r="BX6" s="64">
        <f t="shared" si="18"/>
        <v>0</v>
      </c>
      <c r="BY6" s="87">
        <v>0</v>
      </c>
      <c r="BZ6" s="88">
        <v>0</v>
      </c>
      <c r="CA6" s="89">
        <v>0</v>
      </c>
      <c r="CB6" s="62">
        <f t="shared" ref="CB6:CD9" si="39">+BC6</f>
        <v>-9.48</v>
      </c>
      <c r="CC6" s="62">
        <f t="shared" si="39"/>
        <v>8.68</v>
      </c>
      <c r="CD6" s="100">
        <f t="shared" si="39"/>
        <v>0</v>
      </c>
      <c r="CE6" s="62">
        <f t="shared" si="36"/>
        <v>2527.2299069999995</v>
      </c>
      <c r="CF6" s="63">
        <f t="shared" si="20"/>
        <v>52.44</v>
      </c>
      <c r="CG6" s="64">
        <f t="shared" si="20"/>
        <v>0</v>
      </c>
      <c r="CH6" s="94">
        <f t="shared" si="21"/>
        <v>2543.0299173333328</v>
      </c>
      <c r="CI6" s="95">
        <f t="shared" si="22"/>
        <v>37.973333333333329</v>
      </c>
      <c r="CJ6" s="96">
        <f t="shared" si="23"/>
        <v>0</v>
      </c>
      <c r="CK6" s="87">
        <v>39.21</v>
      </c>
      <c r="CL6" s="88"/>
      <c r="CM6" s="88"/>
      <c r="CN6" s="89"/>
      <c r="CO6" s="62">
        <f t="shared" si="37"/>
        <v>2503.8199173333328</v>
      </c>
      <c r="CP6" s="63">
        <f t="shared" si="24"/>
        <v>37.973333333333329</v>
      </c>
      <c r="CQ6" s="64">
        <f t="shared" si="38"/>
        <v>0</v>
      </c>
    </row>
    <row r="7" spans="1:95" ht="14.5" x14ac:dyDescent="0.35">
      <c r="A7" s="61" t="s">
        <v>372</v>
      </c>
      <c r="B7" s="87">
        <v>8717.92</v>
      </c>
      <c r="C7" s="88">
        <v>1245.24</v>
      </c>
      <c r="D7" s="89">
        <v>23.44</v>
      </c>
      <c r="E7" s="87">
        <v>8717.9200000000019</v>
      </c>
      <c r="F7" s="88">
        <v>1245.24</v>
      </c>
      <c r="G7" s="89">
        <v>23.440000000000005</v>
      </c>
      <c r="H7" s="87">
        <v>86.99</v>
      </c>
      <c r="I7" s="88">
        <v>-129.53</v>
      </c>
      <c r="J7" s="89">
        <v>-9.1</v>
      </c>
      <c r="K7" s="87">
        <v>199.65</v>
      </c>
      <c r="L7" s="88">
        <v>0</v>
      </c>
      <c r="M7" s="89">
        <v>0</v>
      </c>
      <c r="N7" s="87">
        <v>0</v>
      </c>
      <c r="O7" s="88">
        <v>0</v>
      </c>
      <c r="P7" s="89">
        <v>0</v>
      </c>
      <c r="Q7" s="62">
        <f t="shared" si="25"/>
        <v>9004.5600000000013</v>
      </c>
      <c r="R7" s="63">
        <f t="shared" si="0"/>
        <v>1115.71</v>
      </c>
      <c r="S7" s="64">
        <f t="shared" si="0"/>
        <v>14.340000000000005</v>
      </c>
      <c r="T7" s="62">
        <f t="shared" si="26"/>
        <v>9004.5600000000013</v>
      </c>
      <c r="U7" s="63">
        <f t="shared" si="1"/>
        <v>1115.71</v>
      </c>
      <c r="V7" s="64">
        <f t="shared" si="1"/>
        <v>14.340000000000005</v>
      </c>
      <c r="W7" s="62">
        <f t="shared" si="27"/>
        <v>86.99</v>
      </c>
      <c r="X7" s="63">
        <f t="shared" si="2"/>
        <v>-129.53</v>
      </c>
      <c r="Y7" s="64">
        <f t="shared" si="2"/>
        <v>-9.1</v>
      </c>
      <c r="Z7" s="105">
        <v>199.65</v>
      </c>
      <c r="AA7" s="105">
        <v>0</v>
      </c>
      <c r="AB7" s="105">
        <v>0</v>
      </c>
      <c r="AC7" s="92">
        <v>0</v>
      </c>
      <c r="AD7" s="92">
        <v>0</v>
      </c>
      <c r="AE7" s="92">
        <v>0</v>
      </c>
      <c r="AF7" s="62">
        <f t="shared" si="28"/>
        <v>9291.2000000000007</v>
      </c>
      <c r="AG7" s="63">
        <f t="shared" si="3"/>
        <v>986.18000000000006</v>
      </c>
      <c r="AH7" s="64">
        <f t="shared" si="3"/>
        <v>5.2400000000000055</v>
      </c>
      <c r="AI7" s="94">
        <f t="shared" si="29"/>
        <v>8975.5633333333335</v>
      </c>
      <c r="AJ7" s="95">
        <f t="shared" si="4"/>
        <v>1158.8866666666668</v>
      </c>
      <c r="AK7" s="96">
        <f t="shared" si="4"/>
        <v>17.373333333333338</v>
      </c>
      <c r="AL7" s="97">
        <v>172.12</v>
      </c>
      <c r="AM7" s="98"/>
      <c r="AN7" s="98"/>
      <c r="AO7" s="99"/>
      <c r="AP7" s="62">
        <f t="shared" si="30"/>
        <v>8890.4333333333325</v>
      </c>
      <c r="AQ7" s="63">
        <f t="shared" si="30"/>
        <v>1029.3566666666668</v>
      </c>
      <c r="AR7" s="63">
        <f t="shared" si="31"/>
        <v>8.2733333333333388</v>
      </c>
      <c r="AS7" s="64">
        <f t="shared" si="5"/>
        <v>5.2400000000000055</v>
      </c>
      <c r="AT7" s="62">
        <f t="shared" si="6"/>
        <v>9291.2000000000007</v>
      </c>
      <c r="AU7" s="62">
        <f t="shared" si="7"/>
        <v>986.18000000000006</v>
      </c>
      <c r="AV7" s="100">
        <f t="shared" si="8"/>
        <v>5.2400000000000055</v>
      </c>
      <c r="AW7" s="62">
        <f t="shared" si="9"/>
        <v>86.99</v>
      </c>
      <c r="AX7" s="63">
        <f t="shared" si="10"/>
        <v>-129.53</v>
      </c>
      <c r="AY7" s="64">
        <f t="shared" si="11"/>
        <v>-9.1</v>
      </c>
      <c r="AZ7" s="62">
        <f t="shared" ref="AZ7:AZ21" si="40">+Z7</f>
        <v>199.65</v>
      </c>
      <c r="BA7" s="63">
        <f t="shared" ref="BA7:BA21" si="41">+AA7</f>
        <v>0</v>
      </c>
      <c r="BB7" s="64">
        <f t="shared" ref="BB7:BB21" si="42">+AB7</f>
        <v>0</v>
      </c>
      <c r="BC7" s="87">
        <v>0</v>
      </c>
      <c r="BD7" s="88">
        <v>0</v>
      </c>
      <c r="BE7" s="89">
        <v>0</v>
      </c>
      <c r="BF7" s="62">
        <f t="shared" si="32"/>
        <v>9577.84</v>
      </c>
      <c r="BG7" s="63">
        <f t="shared" si="12"/>
        <v>856.65000000000009</v>
      </c>
      <c r="BH7" s="64">
        <f t="shared" si="12"/>
        <v>-3.8599999999999941</v>
      </c>
      <c r="BI7" s="94">
        <f t="shared" si="13"/>
        <v>9195.6533333333336</v>
      </c>
      <c r="BJ7" s="95">
        <f t="shared" si="14"/>
        <v>1029.3566666666668</v>
      </c>
      <c r="BK7" s="96">
        <f t="shared" si="15"/>
        <v>8.2733333333333388</v>
      </c>
      <c r="BL7" s="87">
        <v>172.12</v>
      </c>
      <c r="BM7" s="88"/>
      <c r="BN7" s="88"/>
      <c r="BO7" s="89"/>
      <c r="BP7" s="62">
        <f t="shared" si="33"/>
        <v>9310.1733333333323</v>
      </c>
      <c r="BQ7" s="63">
        <f t="shared" si="16"/>
        <v>899.82666666666682</v>
      </c>
      <c r="BR7" s="64">
        <f t="shared" si="34"/>
        <v>-0.82666666666666089</v>
      </c>
      <c r="BS7" s="62">
        <f t="shared" si="17"/>
        <v>9577.84</v>
      </c>
      <c r="BT7" s="62">
        <f t="shared" si="17"/>
        <v>856.65000000000009</v>
      </c>
      <c r="BU7" s="100">
        <f t="shared" si="17"/>
        <v>-3.8599999999999941</v>
      </c>
      <c r="BV7" s="62">
        <f t="shared" si="35"/>
        <v>86.99</v>
      </c>
      <c r="BW7" s="63">
        <f t="shared" si="18"/>
        <v>-129.53</v>
      </c>
      <c r="BX7" s="64">
        <f t="shared" si="18"/>
        <v>-9.1</v>
      </c>
      <c r="BY7" s="62">
        <f t="shared" si="18"/>
        <v>199.65</v>
      </c>
      <c r="BZ7" s="62">
        <f t="shared" si="19"/>
        <v>0</v>
      </c>
      <c r="CA7" s="100">
        <f t="shared" si="19"/>
        <v>0</v>
      </c>
      <c r="CB7" s="62">
        <f t="shared" si="39"/>
        <v>0</v>
      </c>
      <c r="CC7" s="62">
        <f t="shared" si="39"/>
        <v>0</v>
      </c>
      <c r="CD7" s="100">
        <f t="shared" si="39"/>
        <v>0</v>
      </c>
      <c r="CE7" s="62">
        <f t="shared" si="36"/>
        <v>9864.48</v>
      </c>
      <c r="CF7" s="63">
        <f t="shared" si="20"/>
        <v>727.12000000000012</v>
      </c>
      <c r="CG7" s="64">
        <f t="shared" si="20"/>
        <v>-12.959999999999994</v>
      </c>
      <c r="CH7" s="94">
        <f t="shared" si="21"/>
        <v>9374.2288888888888</v>
      </c>
      <c r="CI7" s="95">
        <f t="shared" si="22"/>
        <v>928.61111111111131</v>
      </c>
      <c r="CJ7" s="96">
        <f t="shared" si="23"/>
        <v>1.1955555555555613</v>
      </c>
      <c r="CK7" s="87">
        <v>172.12</v>
      </c>
      <c r="CL7" s="88"/>
      <c r="CM7" s="88"/>
      <c r="CN7" s="89"/>
      <c r="CO7" s="62">
        <f t="shared" si="37"/>
        <v>9488.7488888888874</v>
      </c>
      <c r="CP7" s="63">
        <f t="shared" si="24"/>
        <v>799.08111111111134</v>
      </c>
      <c r="CQ7" s="64">
        <f t="shared" si="38"/>
        <v>-7.9044444444444384</v>
      </c>
    </row>
    <row r="8" spans="1:95" ht="14.5" x14ac:dyDescent="0.35">
      <c r="A8" s="61" t="s">
        <v>373</v>
      </c>
      <c r="B8" s="87">
        <v>10207.4</v>
      </c>
      <c r="C8" s="88">
        <v>181.86</v>
      </c>
      <c r="D8" s="89">
        <v>2.96</v>
      </c>
      <c r="E8" s="87">
        <v>10207.4</v>
      </c>
      <c r="F8" s="88">
        <v>181.85999999999999</v>
      </c>
      <c r="G8" s="89">
        <v>2.96</v>
      </c>
      <c r="H8" s="87">
        <v>0</v>
      </c>
      <c r="I8" s="88">
        <v>-64.17</v>
      </c>
      <c r="J8" s="89">
        <v>38.587000000000003</v>
      </c>
      <c r="K8" s="87">
        <v>24.91</v>
      </c>
      <c r="L8" s="88">
        <v>0</v>
      </c>
      <c r="M8" s="89">
        <v>8.4529999999999994</v>
      </c>
      <c r="N8" s="87">
        <v>0</v>
      </c>
      <c r="O8" s="88">
        <v>0</v>
      </c>
      <c r="P8" s="89">
        <v>0</v>
      </c>
      <c r="Q8" s="62">
        <f t="shared" si="25"/>
        <v>10232.31</v>
      </c>
      <c r="R8" s="63">
        <f t="shared" si="0"/>
        <v>117.68999999999998</v>
      </c>
      <c r="S8" s="64">
        <f t="shared" si="0"/>
        <v>50</v>
      </c>
      <c r="T8" s="62">
        <f t="shared" si="26"/>
        <v>10232.31</v>
      </c>
      <c r="U8" s="63">
        <f t="shared" si="1"/>
        <v>117.68999999999998</v>
      </c>
      <c r="V8" s="64">
        <f t="shared" si="1"/>
        <v>50</v>
      </c>
      <c r="W8" s="62">
        <f t="shared" si="27"/>
        <v>0</v>
      </c>
      <c r="X8" s="63">
        <f t="shared" si="2"/>
        <v>-64.17</v>
      </c>
      <c r="Y8" s="64">
        <f t="shared" si="2"/>
        <v>38.587000000000003</v>
      </c>
      <c r="Z8" s="105">
        <v>24.91</v>
      </c>
      <c r="AA8" s="105">
        <v>0</v>
      </c>
      <c r="AB8" s="105">
        <v>8.4529999999999994</v>
      </c>
      <c r="AC8" s="92">
        <v>0</v>
      </c>
      <c r="AD8" s="92">
        <v>0</v>
      </c>
      <c r="AE8" s="92">
        <v>0</v>
      </c>
      <c r="AF8" s="62">
        <f t="shared" si="28"/>
        <v>10257.219999999999</v>
      </c>
      <c r="AG8" s="63">
        <f t="shared" si="3"/>
        <v>53.519999999999982</v>
      </c>
      <c r="AH8" s="64">
        <f t="shared" si="3"/>
        <v>97.04</v>
      </c>
      <c r="AI8" s="94">
        <f t="shared" si="29"/>
        <v>10232.31</v>
      </c>
      <c r="AJ8" s="95">
        <f t="shared" si="4"/>
        <v>139.08000000000001</v>
      </c>
      <c r="AK8" s="96">
        <f t="shared" si="4"/>
        <v>37.137666666666668</v>
      </c>
      <c r="AL8" s="97">
        <v>300.29000000000002</v>
      </c>
      <c r="AM8" s="98"/>
      <c r="AN8" s="98"/>
      <c r="AO8" s="99"/>
      <c r="AP8" s="62">
        <f t="shared" si="30"/>
        <v>9932.0199999999986</v>
      </c>
      <c r="AQ8" s="63">
        <f t="shared" si="30"/>
        <v>74.910000000000011</v>
      </c>
      <c r="AR8" s="63">
        <f t="shared" si="31"/>
        <v>75.724666666666678</v>
      </c>
      <c r="AS8" s="64">
        <f t="shared" si="5"/>
        <v>97.04</v>
      </c>
      <c r="AT8" s="62">
        <f t="shared" si="6"/>
        <v>10257.219999999999</v>
      </c>
      <c r="AU8" s="62">
        <f t="shared" si="7"/>
        <v>53.519999999999982</v>
      </c>
      <c r="AV8" s="100">
        <f t="shared" si="8"/>
        <v>97.04</v>
      </c>
      <c r="AW8" s="62">
        <f t="shared" si="9"/>
        <v>0</v>
      </c>
      <c r="AX8" s="63">
        <f t="shared" si="10"/>
        <v>-64.17</v>
      </c>
      <c r="AY8" s="64">
        <f t="shared" si="11"/>
        <v>38.587000000000003</v>
      </c>
      <c r="AZ8" s="62">
        <f t="shared" si="40"/>
        <v>24.91</v>
      </c>
      <c r="BA8" s="63">
        <f t="shared" si="41"/>
        <v>0</v>
      </c>
      <c r="BB8" s="64">
        <f t="shared" si="42"/>
        <v>8.4529999999999994</v>
      </c>
      <c r="BC8" s="87">
        <v>0</v>
      </c>
      <c r="BD8" s="88">
        <v>0</v>
      </c>
      <c r="BE8" s="89">
        <v>0</v>
      </c>
      <c r="BF8" s="62">
        <f t="shared" si="32"/>
        <v>10282.129999999999</v>
      </c>
      <c r="BG8" s="63">
        <f t="shared" si="12"/>
        <v>-10.65000000000002</v>
      </c>
      <c r="BH8" s="64">
        <f t="shared" si="12"/>
        <v>144.08000000000001</v>
      </c>
      <c r="BI8" s="94">
        <f t="shared" si="13"/>
        <v>10248.916666666666</v>
      </c>
      <c r="BJ8" s="95">
        <f t="shared" si="14"/>
        <v>74.909999999999982</v>
      </c>
      <c r="BK8" s="96">
        <f t="shared" si="15"/>
        <v>81.36</v>
      </c>
      <c r="BL8" s="87">
        <v>300.29000000000002</v>
      </c>
      <c r="BM8" s="88"/>
      <c r="BN8" s="88"/>
      <c r="BO8" s="89"/>
      <c r="BP8" s="62">
        <f t="shared" si="33"/>
        <v>9973.536666666665</v>
      </c>
      <c r="BQ8" s="63">
        <f t="shared" si="16"/>
        <v>10.739999999999981</v>
      </c>
      <c r="BR8" s="64">
        <f t="shared" si="34"/>
        <v>128.4</v>
      </c>
      <c r="BS8" s="62">
        <f t="shared" si="17"/>
        <v>10282.129999999999</v>
      </c>
      <c r="BT8" s="62">
        <f t="shared" si="17"/>
        <v>-10.65000000000002</v>
      </c>
      <c r="BU8" s="100">
        <f t="shared" si="17"/>
        <v>144.08000000000001</v>
      </c>
      <c r="BV8" s="62">
        <f t="shared" si="35"/>
        <v>0</v>
      </c>
      <c r="BW8" s="63">
        <f t="shared" si="18"/>
        <v>-64.17</v>
      </c>
      <c r="BX8" s="64">
        <f t="shared" si="18"/>
        <v>38.587000000000003</v>
      </c>
      <c r="BY8" s="62">
        <f t="shared" si="18"/>
        <v>24.91</v>
      </c>
      <c r="BZ8" s="62">
        <f t="shared" si="19"/>
        <v>0</v>
      </c>
      <c r="CA8" s="100">
        <f t="shared" si="19"/>
        <v>8.4529999999999994</v>
      </c>
      <c r="CB8" s="62">
        <f t="shared" si="39"/>
        <v>0</v>
      </c>
      <c r="CC8" s="62">
        <f t="shared" si="39"/>
        <v>0</v>
      </c>
      <c r="CD8" s="100">
        <f t="shared" si="39"/>
        <v>0</v>
      </c>
      <c r="CE8" s="62">
        <f t="shared" si="36"/>
        <v>10307.039999999999</v>
      </c>
      <c r="CF8" s="63">
        <f t="shared" si="20"/>
        <v>-74.820000000000022</v>
      </c>
      <c r="CG8" s="64">
        <f t="shared" si="20"/>
        <v>191.12000000000003</v>
      </c>
      <c r="CH8" s="94">
        <f t="shared" si="21"/>
        <v>10262.755555555555</v>
      </c>
      <c r="CI8" s="95">
        <f t="shared" si="22"/>
        <v>24.999999999999989</v>
      </c>
      <c r="CJ8" s="96">
        <f t="shared" si="23"/>
        <v>116.06822222222225</v>
      </c>
      <c r="CK8" s="87">
        <v>300.29000000000002</v>
      </c>
      <c r="CL8" s="88"/>
      <c r="CM8" s="88"/>
      <c r="CN8" s="89"/>
      <c r="CO8" s="62">
        <f t="shared" si="37"/>
        <v>9987.3755555555545</v>
      </c>
      <c r="CP8" s="63">
        <f t="shared" si="24"/>
        <v>-39.170000000000016</v>
      </c>
      <c r="CQ8" s="64">
        <f t="shared" si="38"/>
        <v>163.10822222222225</v>
      </c>
    </row>
    <row r="9" spans="1:95" ht="14.5" x14ac:dyDescent="0.35">
      <c r="A9" s="61" t="s">
        <v>374</v>
      </c>
      <c r="B9" s="87">
        <v>16305.1</v>
      </c>
      <c r="C9" s="88">
        <v>138.5</v>
      </c>
      <c r="D9" s="89">
        <v>279.76</v>
      </c>
      <c r="E9" s="87">
        <v>16305.1</v>
      </c>
      <c r="F9" s="88">
        <v>138.5</v>
      </c>
      <c r="G9" s="89">
        <v>279.76</v>
      </c>
      <c r="H9" s="87">
        <v>0</v>
      </c>
      <c r="I9" s="88">
        <v>0</v>
      </c>
      <c r="J9" s="89">
        <v>0</v>
      </c>
      <c r="K9" s="87">
        <v>0</v>
      </c>
      <c r="L9" s="88">
        <v>0</v>
      </c>
      <c r="M9" s="89">
        <v>0</v>
      </c>
      <c r="N9" s="87">
        <v>-2608.02</v>
      </c>
      <c r="O9" s="88">
        <v>2839.21</v>
      </c>
      <c r="P9" s="89">
        <v>-141.58000000000001</v>
      </c>
      <c r="Q9" s="62">
        <f t="shared" si="25"/>
        <v>13697.08</v>
      </c>
      <c r="R9" s="63">
        <f t="shared" si="0"/>
        <v>2977.71</v>
      </c>
      <c r="S9" s="64">
        <f t="shared" si="0"/>
        <v>138.17999999999998</v>
      </c>
      <c r="T9" s="62">
        <f t="shared" si="26"/>
        <v>13697.08</v>
      </c>
      <c r="U9" s="63">
        <f t="shared" si="1"/>
        <v>2977.71</v>
      </c>
      <c r="V9" s="64">
        <f t="shared" si="1"/>
        <v>138.17999999999998</v>
      </c>
      <c r="W9" s="62">
        <f t="shared" si="27"/>
        <v>0</v>
      </c>
      <c r="X9" s="63">
        <f t="shared" si="2"/>
        <v>0</v>
      </c>
      <c r="Y9" s="64">
        <f t="shared" si="2"/>
        <v>0</v>
      </c>
      <c r="Z9" s="103">
        <v>0</v>
      </c>
      <c r="AA9" s="103">
        <v>0</v>
      </c>
      <c r="AB9" s="103">
        <v>0</v>
      </c>
      <c r="AC9" s="92">
        <v>0</v>
      </c>
      <c r="AD9" s="92">
        <v>0</v>
      </c>
      <c r="AE9" s="92">
        <v>0</v>
      </c>
      <c r="AF9" s="62">
        <f t="shared" si="28"/>
        <v>13697.08</v>
      </c>
      <c r="AG9" s="63">
        <f t="shared" si="3"/>
        <v>2977.71</v>
      </c>
      <c r="AH9" s="64">
        <f t="shared" si="3"/>
        <v>138.17999999999998</v>
      </c>
      <c r="AI9" s="94">
        <f t="shared" si="29"/>
        <v>14566.42</v>
      </c>
      <c r="AJ9" s="95">
        <f t="shared" si="4"/>
        <v>2031.3066666666666</v>
      </c>
      <c r="AK9" s="96">
        <f t="shared" si="4"/>
        <v>185.37333333333331</v>
      </c>
      <c r="AL9" s="97">
        <v>81.08</v>
      </c>
      <c r="AM9" s="98"/>
      <c r="AN9" s="98"/>
      <c r="AO9" s="99"/>
      <c r="AP9" s="62">
        <f t="shared" si="30"/>
        <v>14485.34</v>
      </c>
      <c r="AQ9" s="63">
        <f t="shared" si="30"/>
        <v>2031.3066666666666</v>
      </c>
      <c r="AR9" s="63">
        <f t="shared" si="31"/>
        <v>185.37333333333331</v>
      </c>
      <c r="AS9" s="64">
        <f t="shared" si="5"/>
        <v>138.17999999999998</v>
      </c>
      <c r="AT9" s="62">
        <f t="shared" si="6"/>
        <v>13697.08</v>
      </c>
      <c r="AU9" s="62">
        <f t="shared" si="7"/>
        <v>2977.71</v>
      </c>
      <c r="AV9" s="100">
        <f t="shared" si="8"/>
        <v>138.17999999999998</v>
      </c>
      <c r="AW9" s="62">
        <f t="shared" si="9"/>
        <v>0</v>
      </c>
      <c r="AX9" s="63">
        <f t="shared" si="10"/>
        <v>0</v>
      </c>
      <c r="AY9" s="64">
        <f t="shared" si="11"/>
        <v>0</v>
      </c>
      <c r="AZ9" s="62">
        <f t="shared" si="40"/>
        <v>0</v>
      </c>
      <c r="BA9" s="63">
        <f t="shared" si="41"/>
        <v>0</v>
      </c>
      <c r="BB9" s="64">
        <f t="shared" si="42"/>
        <v>0</v>
      </c>
      <c r="BC9" s="87">
        <v>0</v>
      </c>
      <c r="BD9" s="88">
        <v>0</v>
      </c>
      <c r="BE9" s="89">
        <v>0</v>
      </c>
      <c r="BF9" s="62">
        <f t="shared" si="32"/>
        <v>13697.08</v>
      </c>
      <c r="BG9" s="63">
        <f t="shared" si="12"/>
        <v>2977.71</v>
      </c>
      <c r="BH9" s="64">
        <f t="shared" si="12"/>
        <v>138.17999999999998</v>
      </c>
      <c r="BI9" s="94">
        <f t="shared" si="13"/>
        <v>13697.08</v>
      </c>
      <c r="BJ9" s="95">
        <f t="shared" si="14"/>
        <v>2977.7100000000005</v>
      </c>
      <c r="BK9" s="96">
        <f t="shared" si="15"/>
        <v>138.17999999999998</v>
      </c>
      <c r="BL9" s="87">
        <v>81.08</v>
      </c>
      <c r="BM9" s="88"/>
      <c r="BN9" s="88"/>
      <c r="BO9" s="89"/>
      <c r="BP9" s="62">
        <f t="shared" si="33"/>
        <v>13616</v>
      </c>
      <c r="BQ9" s="63">
        <f t="shared" si="16"/>
        <v>2977.7100000000005</v>
      </c>
      <c r="BR9" s="64">
        <f t="shared" si="34"/>
        <v>138.17999999999998</v>
      </c>
      <c r="BS9" s="62">
        <f t="shared" si="17"/>
        <v>13697.08</v>
      </c>
      <c r="BT9" s="62">
        <f t="shared" si="17"/>
        <v>2977.71</v>
      </c>
      <c r="BU9" s="100">
        <f t="shared" si="17"/>
        <v>138.17999999999998</v>
      </c>
      <c r="BV9" s="62">
        <f t="shared" si="35"/>
        <v>0</v>
      </c>
      <c r="BW9" s="63">
        <f t="shared" si="18"/>
        <v>0</v>
      </c>
      <c r="BX9" s="64">
        <f t="shared" si="18"/>
        <v>0</v>
      </c>
      <c r="BY9" s="62">
        <f t="shared" si="18"/>
        <v>0</v>
      </c>
      <c r="BZ9" s="62">
        <f t="shared" si="19"/>
        <v>0</v>
      </c>
      <c r="CA9" s="100">
        <f t="shared" si="19"/>
        <v>0</v>
      </c>
      <c r="CB9" s="62">
        <f t="shared" si="39"/>
        <v>0</v>
      </c>
      <c r="CC9" s="62">
        <f t="shared" si="39"/>
        <v>0</v>
      </c>
      <c r="CD9" s="100">
        <f t="shared" si="39"/>
        <v>0</v>
      </c>
      <c r="CE9" s="62">
        <f t="shared" si="36"/>
        <v>13697.08</v>
      </c>
      <c r="CF9" s="63">
        <f t="shared" si="20"/>
        <v>2977.71</v>
      </c>
      <c r="CG9" s="64">
        <f t="shared" si="20"/>
        <v>138.17999999999998</v>
      </c>
      <c r="CH9" s="94">
        <f t="shared" si="21"/>
        <v>13986.86</v>
      </c>
      <c r="CI9" s="95">
        <f t="shared" si="22"/>
        <v>2662.2422222222226</v>
      </c>
      <c r="CJ9" s="96">
        <f t="shared" si="23"/>
        <v>153.91111111111107</v>
      </c>
      <c r="CK9" s="87">
        <v>81.08</v>
      </c>
      <c r="CL9" s="88"/>
      <c r="CM9" s="88"/>
      <c r="CN9" s="89"/>
      <c r="CO9" s="62">
        <f t="shared" si="37"/>
        <v>13905.78</v>
      </c>
      <c r="CP9" s="63">
        <f t="shared" si="24"/>
        <v>2662.2422222222226</v>
      </c>
      <c r="CQ9" s="64">
        <f t="shared" si="38"/>
        <v>153.91111111111107</v>
      </c>
    </row>
    <row r="10" spans="1:95" ht="14.5" x14ac:dyDescent="0.35">
      <c r="A10" s="61" t="s">
        <v>375</v>
      </c>
      <c r="B10" s="87">
        <v>15460.45</v>
      </c>
      <c r="C10" s="88">
        <v>164.83</v>
      </c>
      <c r="D10" s="89">
        <v>0</v>
      </c>
      <c r="E10" s="87">
        <v>15460.45</v>
      </c>
      <c r="F10" s="88">
        <v>164.82999999999998</v>
      </c>
      <c r="G10" s="89">
        <v>0</v>
      </c>
      <c r="H10" s="87">
        <v>42.826999999999998</v>
      </c>
      <c r="I10" s="88">
        <v>-71.22</v>
      </c>
      <c r="J10" s="89">
        <v>0</v>
      </c>
      <c r="K10" s="87">
        <v>1861.3330000000001</v>
      </c>
      <c r="L10" s="88">
        <v>0</v>
      </c>
      <c r="M10" s="89">
        <v>0</v>
      </c>
      <c r="N10" s="87">
        <v>0</v>
      </c>
      <c r="O10" s="88">
        <v>0</v>
      </c>
      <c r="P10" s="89">
        <v>0</v>
      </c>
      <c r="Q10" s="62">
        <f t="shared" si="25"/>
        <v>17364.61</v>
      </c>
      <c r="R10" s="63">
        <f t="shared" si="0"/>
        <v>93.609999999999985</v>
      </c>
      <c r="S10" s="64">
        <f t="shared" si="0"/>
        <v>0</v>
      </c>
      <c r="T10" s="62">
        <f t="shared" si="26"/>
        <v>17364.61</v>
      </c>
      <c r="U10" s="63">
        <f t="shared" si="1"/>
        <v>93.609999999999985</v>
      </c>
      <c r="V10" s="64">
        <f t="shared" si="1"/>
        <v>0</v>
      </c>
      <c r="W10" s="62">
        <f t="shared" si="27"/>
        <v>42.826999999999998</v>
      </c>
      <c r="X10" s="63">
        <f t="shared" si="2"/>
        <v>-71.22</v>
      </c>
      <c r="Y10" s="64">
        <f t="shared" si="2"/>
        <v>0</v>
      </c>
      <c r="Z10" s="106">
        <v>0</v>
      </c>
      <c r="AA10" s="106">
        <v>0</v>
      </c>
      <c r="AB10" s="106">
        <v>0</v>
      </c>
      <c r="AC10" s="107">
        <v>-59.039673999999998</v>
      </c>
      <c r="AD10" s="107">
        <v>-0.318274</v>
      </c>
      <c r="AE10" s="107">
        <v>0</v>
      </c>
      <c r="AF10" s="62">
        <f t="shared" si="28"/>
        <v>17348.397326000002</v>
      </c>
      <c r="AG10" s="63">
        <f t="shared" si="3"/>
        <v>22.071725999999988</v>
      </c>
      <c r="AH10" s="64">
        <f t="shared" si="3"/>
        <v>0</v>
      </c>
      <c r="AI10" s="94">
        <f t="shared" si="29"/>
        <v>16710.21010866667</v>
      </c>
      <c r="AJ10" s="95">
        <f t="shared" si="4"/>
        <v>117.24390866666666</v>
      </c>
      <c r="AK10" s="96">
        <f t="shared" si="4"/>
        <v>0</v>
      </c>
      <c r="AL10" s="97">
        <v>189.25</v>
      </c>
      <c r="AM10" s="98"/>
      <c r="AN10" s="98"/>
      <c r="AO10" s="99"/>
      <c r="AP10" s="62">
        <f t="shared" si="30"/>
        <v>16563.787108666671</v>
      </c>
      <c r="AQ10" s="63">
        <f t="shared" si="30"/>
        <v>46.023908666666657</v>
      </c>
      <c r="AR10" s="63">
        <f t="shared" si="31"/>
        <v>0</v>
      </c>
      <c r="AS10" s="64">
        <f t="shared" si="5"/>
        <v>0</v>
      </c>
      <c r="AT10" s="62">
        <f t="shared" si="6"/>
        <v>17348.397326000002</v>
      </c>
      <c r="AU10" s="62">
        <f t="shared" si="7"/>
        <v>22.071725999999988</v>
      </c>
      <c r="AV10" s="100">
        <f t="shared" si="8"/>
        <v>0</v>
      </c>
      <c r="AW10" s="62">
        <f t="shared" si="9"/>
        <v>42.826999999999998</v>
      </c>
      <c r="AX10" s="63">
        <f t="shared" si="10"/>
        <v>-71.22</v>
      </c>
      <c r="AY10" s="64">
        <f t="shared" si="11"/>
        <v>0</v>
      </c>
      <c r="AZ10" s="62">
        <f t="shared" si="40"/>
        <v>0</v>
      </c>
      <c r="BA10" s="63">
        <f t="shared" si="41"/>
        <v>0</v>
      </c>
      <c r="BB10" s="64">
        <f t="shared" si="42"/>
        <v>0</v>
      </c>
      <c r="BC10" s="87">
        <v>-58.984550908400003</v>
      </c>
      <c r="BD10" s="88">
        <v>-7.5043868399999991E-2</v>
      </c>
      <c r="BE10" s="89">
        <v>0</v>
      </c>
      <c r="BF10" s="62">
        <f t="shared" si="32"/>
        <v>17332.239775091602</v>
      </c>
      <c r="BG10" s="63">
        <f t="shared" si="12"/>
        <v>-49.223317868400017</v>
      </c>
      <c r="BH10" s="64">
        <f t="shared" si="12"/>
        <v>0</v>
      </c>
      <c r="BI10" s="94">
        <f t="shared" si="13"/>
        <v>17334.140033697204</v>
      </c>
      <c r="BJ10" s="95">
        <f t="shared" si="14"/>
        <v>45.892802710533317</v>
      </c>
      <c r="BK10" s="96">
        <f t="shared" si="15"/>
        <v>0</v>
      </c>
      <c r="BL10" s="87">
        <v>189.25</v>
      </c>
      <c r="BM10" s="88"/>
      <c r="BN10" s="88"/>
      <c r="BO10" s="89"/>
      <c r="BP10" s="62">
        <f t="shared" si="33"/>
        <v>17187.717033697205</v>
      </c>
      <c r="BQ10" s="63">
        <f t="shared" si="16"/>
        <v>-25.327197289466682</v>
      </c>
      <c r="BR10" s="64">
        <f t="shared" si="34"/>
        <v>0</v>
      </c>
      <c r="BS10" s="62">
        <f t="shared" si="17"/>
        <v>17332.239775091602</v>
      </c>
      <c r="BT10" s="62">
        <f t="shared" si="17"/>
        <v>-49.223317868400017</v>
      </c>
      <c r="BU10" s="100">
        <f t="shared" si="17"/>
        <v>0</v>
      </c>
      <c r="BV10" s="62">
        <f t="shared" si="35"/>
        <v>42.826999999999998</v>
      </c>
      <c r="BW10" s="63">
        <f t="shared" si="18"/>
        <v>-71.22</v>
      </c>
      <c r="BX10" s="64">
        <f t="shared" si="18"/>
        <v>0</v>
      </c>
      <c r="BY10" s="87">
        <v>0</v>
      </c>
      <c r="BZ10" s="88">
        <v>0</v>
      </c>
      <c r="CA10" s="89">
        <v>0</v>
      </c>
      <c r="CB10" s="101">
        <f>-(BS10*0.0034)</f>
        <v>-58.929615235311445</v>
      </c>
      <c r="CC10" s="101">
        <f>-(BT10*0.0034)</f>
        <v>0.16735928075256004</v>
      </c>
      <c r="CD10" s="102">
        <f>-(BU10*0.0034)</f>
        <v>0</v>
      </c>
      <c r="CE10" s="62">
        <f t="shared" si="36"/>
        <v>17316.137159856291</v>
      </c>
      <c r="CF10" s="63">
        <f t="shared" si="20"/>
        <v>-120.27595858764745</v>
      </c>
      <c r="CG10" s="64">
        <f t="shared" si="20"/>
        <v>0</v>
      </c>
      <c r="CH10" s="94">
        <f t="shared" si="21"/>
        <v>17134.438100740055</v>
      </c>
      <c r="CI10" s="95">
        <f t="shared" si="22"/>
        <v>-9.4530824034824921</v>
      </c>
      <c r="CJ10" s="96">
        <f t="shared" si="23"/>
        <v>0</v>
      </c>
      <c r="CK10" s="87">
        <v>189.25</v>
      </c>
      <c r="CL10" s="88"/>
      <c r="CM10" s="88"/>
      <c r="CN10" s="89"/>
      <c r="CO10" s="62">
        <f t="shared" si="37"/>
        <v>16988.015100740056</v>
      </c>
      <c r="CP10" s="63">
        <f t="shared" si="24"/>
        <v>-80.673082403482496</v>
      </c>
      <c r="CQ10" s="64">
        <f t="shared" si="38"/>
        <v>0</v>
      </c>
    </row>
    <row r="11" spans="1:95" ht="14.5" x14ac:dyDescent="0.35">
      <c r="A11" s="61" t="s">
        <v>376</v>
      </c>
      <c r="B11" s="87">
        <v>16000.02</v>
      </c>
      <c r="C11" s="88">
        <v>385.28</v>
      </c>
      <c r="D11" s="89">
        <v>0</v>
      </c>
      <c r="E11" s="87">
        <v>16000.019969999999</v>
      </c>
      <c r="F11" s="88">
        <v>385.28000000000003</v>
      </c>
      <c r="G11" s="89">
        <v>0</v>
      </c>
      <c r="H11" s="87">
        <v>5.5</v>
      </c>
      <c r="I11" s="88">
        <v>-5.71</v>
      </c>
      <c r="J11" s="89">
        <v>0</v>
      </c>
      <c r="K11" s="87">
        <v>0</v>
      </c>
      <c r="L11" s="88">
        <v>0</v>
      </c>
      <c r="M11" s="89">
        <v>0</v>
      </c>
      <c r="N11" s="87">
        <v>0</v>
      </c>
      <c r="O11" s="88">
        <v>0</v>
      </c>
      <c r="P11" s="89">
        <v>0</v>
      </c>
      <c r="Q11" s="62">
        <f t="shared" si="25"/>
        <v>16005.519969999999</v>
      </c>
      <c r="R11" s="63">
        <f t="shared" si="0"/>
        <v>379.57000000000005</v>
      </c>
      <c r="S11" s="64">
        <f t="shared" si="0"/>
        <v>0</v>
      </c>
      <c r="T11" s="62">
        <f t="shared" si="26"/>
        <v>16005.519969999999</v>
      </c>
      <c r="U11" s="63">
        <f t="shared" si="1"/>
        <v>379.57000000000005</v>
      </c>
      <c r="V11" s="64">
        <f t="shared" si="1"/>
        <v>0</v>
      </c>
      <c r="W11" s="62">
        <f t="shared" si="27"/>
        <v>5.5</v>
      </c>
      <c r="X11" s="63">
        <f t="shared" si="2"/>
        <v>-5.71</v>
      </c>
      <c r="Y11" s="64">
        <f t="shared" si="2"/>
        <v>0</v>
      </c>
      <c r="Z11" s="103">
        <v>0</v>
      </c>
      <c r="AA11" s="103">
        <v>0</v>
      </c>
      <c r="AB11" s="103">
        <v>0</v>
      </c>
      <c r="AC11" s="92">
        <v>0</v>
      </c>
      <c r="AD11" s="92">
        <v>0</v>
      </c>
      <c r="AE11" s="92">
        <v>0</v>
      </c>
      <c r="AF11" s="62">
        <f t="shared" si="28"/>
        <v>16011.019969999999</v>
      </c>
      <c r="AG11" s="63">
        <f t="shared" si="3"/>
        <v>373.86000000000007</v>
      </c>
      <c r="AH11" s="64">
        <f t="shared" si="3"/>
        <v>0</v>
      </c>
      <c r="AI11" s="94">
        <f t="shared" si="29"/>
        <v>16003.686646666667</v>
      </c>
      <c r="AJ11" s="95">
        <f t="shared" si="4"/>
        <v>381.47333333333336</v>
      </c>
      <c r="AK11" s="96">
        <f t="shared" si="4"/>
        <v>0</v>
      </c>
      <c r="AL11" s="97">
        <v>131.12</v>
      </c>
      <c r="AM11" s="98"/>
      <c r="AN11" s="98"/>
      <c r="AO11" s="99"/>
      <c r="AP11" s="62">
        <f t="shared" si="30"/>
        <v>15878.066646666666</v>
      </c>
      <c r="AQ11" s="63">
        <f t="shared" si="30"/>
        <v>375.76333333333338</v>
      </c>
      <c r="AR11" s="63">
        <f t="shared" si="31"/>
        <v>0</v>
      </c>
      <c r="AS11" s="64">
        <f t="shared" si="5"/>
        <v>0</v>
      </c>
      <c r="AT11" s="62">
        <f t="shared" si="6"/>
        <v>16011.019969999999</v>
      </c>
      <c r="AU11" s="62">
        <f t="shared" si="7"/>
        <v>373.86000000000007</v>
      </c>
      <c r="AV11" s="100">
        <f t="shared" si="8"/>
        <v>0</v>
      </c>
      <c r="AW11" s="62">
        <f t="shared" si="9"/>
        <v>5.5</v>
      </c>
      <c r="AX11" s="63">
        <f t="shared" si="10"/>
        <v>-5.71</v>
      </c>
      <c r="AY11" s="64">
        <f t="shared" si="11"/>
        <v>0</v>
      </c>
      <c r="AZ11" s="62">
        <f t="shared" si="40"/>
        <v>0</v>
      </c>
      <c r="BA11" s="63">
        <f t="shared" si="41"/>
        <v>0</v>
      </c>
      <c r="BB11" s="64">
        <f t="shared" si="42"/>
        <v>0</v>
      </c>
      <c r="BC11" s="87">
        <v>0</v>
      </c>
      <c r="BD11" s="88">
        <v>0</v>
      </c>
      <c r="BE11" s="89">
        <v>0</v>
      </c>
      <c r="BF11" s="62">
        <f t="shared" si="32"/>
        <v>16016.519969999999</v>
      </c>
      <c r="BG11" s="63">
        <f t="shared" si="12"/>
        <v>368.15000000000009</v>
      </c>
      <c r="BH11" s="64">
        <f t="shared" si="12"/>
        <v>0</v>
      </c>
      <c r="BI11" s="94">
        <f t="shared" si="13"/>
        <v>16009.186636666665</v>
      </c>
      <c r="BJ11" s="95">
        <f t="shared" si="14"/>
        <v>375.76333333333338</v>
      </c>
      <c r="BK11" s="96">
        <f t="shared" si="15"/>
        <v>0</v>
      </c>
      <c r="BL11" s="87">
        <v>131.12</v>
      </c>
      <c r="BM11" s="88"/>
      <c r="BN11" s="88"/>
      <c r="BO11" s="89"/>
      <c r="BP11" s="62">
        <f t="shared" si="33"/>
        <v>15883.566636666665</v>
      </c>
      <c r="BQ11" s="63">
        <f t="shared" si="16"/>
        <v>370.0533333333334</v>
      </c>
      <c r="BR11" s="64">
        <f t="shared" si="34"/>
        <v>0</v>
      </c>
      <c r="BS11" s="62">
        <f t="shared" si="17"/>
        <v>16016.519969999999</v>
      </c>
      <c r="BT11" s="62">
        <f t="shared" si="17"/>
        <v>368.15000000000009</v>
      </c>
      <c r="BU11" s="100">
        <f t="shared" si="17"/>
        <v>0</v>
      </c>
      <c r="BV11" s="62">
        <f t="shared" si="35"/>
        <v>5.5</v>
      </c>
      <c r="BW11" s="63">
        <f t="shared" si="18"/>
        <v>-5.71</v>
      </c>
      <c r="BX11" s="64">
        <f t="shared" si="18"/>
        <v>0</v>
      </c>
      <c r="BY11" s="62">
        <f t="shared" si="18"/>
        <v>0</v>
      </c>
      <c r="BZ11" s="62">
        <f t="shared" si="19"/>
        <v>0</v>
      </c>
      <c r="CA11" s="100">
        <f t="shared" si="19"/>
        <v>0</v>
      </c>
      <c r="CB11" s="62">
        <f t="shared" si="19"/>
        <v>0</v>
      </c>
      <c r="CC11" s="62">
        <f t="shared" si="19"/>
        <v>0</v>
      </c>
      <c r="CD11" s="100">
        <f t="shared" si="19"/>
        <v>0</v>
      </c>
      <c r="CE11" s="62">
        <f t="shared" si="36"/>
        <v>16022.019969999999</v>
      </c>
      <c r="CF11" s="63">
        <f t="shared" si="20"/>
        <v>362.44000000000011</v>
      </c>
      <c r="CG11" s="64">
        <f t="shared" si="20"/>
        <v>0</v>
      </c>
      <c r="CH11" s="94">
        <f t="shared" si="21"/>
        <v>16013.464417777779</v>
      </c>
      <c r="CI11" s="95">
        <f t="shared" si="22"/>
        <v>371.32222222222231</v>
      </c>
      <c r="CJ11" s="96">
        <f t="shared" si="23"/>
        <v>0</v>
      </c>
      <c r="CK11" s="87">
        <v>131.12</v>
      </c>
      <c r="CL11" s="88"/>
      <c r="CM11" s="88"/>
      <c r="CN11" s="89"/>
      <c r="CO11" s="62">
        <f t="shared" si="37"/>
        <v>15887.844417777778</v>
      </c>
      <c r="CP11" s="63">
        <f t="shared" si="24"/>
        <v>365.61222222222233</v>
      </c>
      <c r="CQ11" s="64">
        <f t="shared" si="38"/>
        <v>0</v>
      </c>
    </row>
    <row r="12" spans="1:95" ht="14.5" x14ac:dyDescent="0.35">
      <c r="A12" s="61" t="s">
        <v>377</v>
      </c>
      <c r="B12" s="87">
        <v>11468.25</v>
      </c>
      <c r="C12" s="88">
        <v>219.1</v>
      </c>
      <c r="D12" s="89">
        <v>113.84</v>
      </c>
      <c r="E12" s="87">
        <v>11468.249939000001</v>
      </c>
      <c r="F12" s="88">
        <v>219.1</v>
      </c>
      <c r="G12" s="89">
        <v>113.84</v>
      </c>
      <c r="H12" s="87">
        <v>235.42</v>
      </c>
      <c r="I12" s="88">
        <v>45.22</v>
      </c>
      <c r="J12" s="89">
        <v>-61.37</v>
      </c>
      <c r="K12" s="87">
        <v>0</v>
      </c>
      <c r="L12" s="88">
        <v>0</v>
      </c>
      <c r="M12" s="89">
        <v>0</v>
      </c>
      <c r="N12" s="87">
        <v>0</v>
      </c>
      <c r="O12" s="88">
        <v>0</v>
      </c>
      <c r="P12" s="89">
        <v>0</v>
      </c>
      <c r="Q12" s="62">
        <f t="shared" si="25"/>
        <v>11703.669939000001</v>
      </c>
      <c r="R12" s="63">
        <f t="shared" si="0"/>
        <v>264.32</v>
      </c>
      <c r="S12" s="64">
        <f t="shared" si="0"/>
        <v>52.470000000000006</v>
      </c>
      <c r="T12" s="62">
        <f t="shared" si="26"/>
        <v>11703.669939000001</v>
      </c>
      <c r="U12" s="63">
        <f t="shared" si="1"/>
        <v>264.32</v>
      </c>
      <c r="V12" s="64">
        <f t="shared" si="1"/>
        <v>52.470000000000006</v>
      </c>
      <c r="W12" s="62">
        <f t="shared" si="27"/>
        <v>235.42</v>
      </c>
      <c r="X12" s="63">
        <f t="shared" si="2"/>
        <v>45.22</v>
      </c>
      <c r="Y12" s="64">
        <f t="shared" si="2"/>
        <v>-61.37</v>
      </c>
      <c r="Z12" s="103">
        <v>0</v>
      </c>
      <c r="AA12" s="103">
        <v>0</v>
      </c>
      <c r="AB12" s="103">
        <v>0</v>
      </c>
      <c r="AC12" s="92">
        <v>0</v>
      </c>
      <c r="AD12" s="92">
        <v>0</v>
      </c>
      <c r="AE12" s="92">
        <v>0</v>
      </c>
      <c r="AF12" s="62">
        <f t="shared" si="28"/>
        <v>11939.089939000001</v>
      </c>
      <c r="AG12" s="63">
        <f t="shared" si="3"/>
        <v>309.53999999999996</v>
      </c>
      <c r="AH12" s="64">
        <f t="shared" si="3"/>
        <v>-8.8999999999999915</v>
      </c>
      <c r="AI12" s="94">
        <f t="shared" si="29"/>
        <v>11625.196625999999</v>
      </c>
      <c r="AJ12" s="95">
        <f t="shared" si="4"/>
        <v>249.24666666666664</v>
      </c>
      <c r="AK12" s="96">
        <f t="shared" si="4"/>
        <v>72.926666666666677</v>
      </c>
      <c r="AL12" s="97">
        <v>129.29</v>
      </c>
      <c r="AM12" s="98"/>
      <c r="AN12" s="98"/>
      <c r="AO12" s="99"/>
      <c r="AP12" s="62">
        <f t="shared" si="30"/>
        <v>11731.326625999998</v>
      </c>
      <c r="AQ12" s="63">
        <f t="shared" si="30"/>
        <v>294.46666666666664</v>
      </c>
      <c r="AR12" s="63">
        <f t="shared" si="31"/>
        <v>11.556666666666679</v>
      </c>
      <c r="AS12" s="64">
        <f t="shared" si="5"/>
        <v>-8.8999999999999915</v>
      </c>
      <c r="AT12" s="62">
        <f t="shared" si="6"/>
        <v>11939.089939000001</v>
      </c>
      <c r="AU12" s="62">
        <f t="shared" si="7"/>
        <v>309.53999999999996</v>
      </c>
      <c r="AV12" s="100">
        <f t="shared" si="8"/>
        <v>-8.8999999999999915</v>
      </c>
      <c r="AW12" s="62">
        <f t="shared" si="9"/>
        <v>235.42</v>
      </c>
      <c r="AX12" s="63">
        <f t="shared" si="10"/>
        <v>45.22</v>
      </c>
      <c r="AY12" s="64">
        <f t="shared" si="11"/>
        <v>-61.37</v>
      </c>
      <c r="AZ12" s="62">
        <f t="shared" si="40"/>
        <v>0</v>
      </c>
      <c r="BA12" s="63">
        <f t="shared" si="41"/>
        <v>0</v>
      </c>
      <c r="BB12" s="64">
        <f t="shared" si="42"/>
        <v>0</v>
      </c>
      <c r="BC12" s="87">
        <v>0</v>
      </c>
      <c r="BD12" s="88">
        <v>0</v>
      </c>
      <c r="BE12" s="89">
        <v>0</v>
      </c>
      <c r="BF12" s="62">
        <f t="shared" si="32"/>
        <v>12174.509939000001</v>
      </c>
      <c r="BG12" s="63">
        <f t="shared" si="12"/>
        <v>354.76</v>
      </c>
      <c r="BH12" s="64">
        <f t="shared" si="12"/>
        <v>-70.269999999999982</v>
      </c>
      <c r="BI12" s="94">
        <f t="shared" si="13"/>
        <v>11860.61660566667</v>
      </c>
      <c r="BJ12" s="95">
        <f t="shared" si="14"/>
        <v>294.46666666666664</v>
      </c>
      <c r="BK12" s="96">
        <f t="shared" si="15"/>
        <v>11.556666666666677</v>
      </c>
      <c r="BL12" s="87">
        <v>129.29</v>
      </c>
      <c r="BM12" s="88"/>
      <c r="BN12" s="88"/>
      <c r="BO12" s="89"/>
      <c r="BP12" s="62">
        <f t="shared" si="33"/>
        <v>11966.746605666669</v>
      </c>
      <c r="BQ12" s="63">
        <f t="shared" si="16"/>
        <v>339.68666666666661</v>
      </c>
      <c r="BR12" s="64">
        <f t="shared" si="34"/>
        <v>-49.813333333333318</v>
      </c>
      <c r="BS12" s="62">
        <f t="shared" si="17"/>
        <v>12174.509939000001</v>
      </c>
      <c r="BT12" s="62">
        <f t="shared" si="17"/>
        <v>354.76</v>
      </c>
      <c r="BU12" s="100">
        <f t="shared" si="17"/>
        <v>-70.269999999999982</v>
      </c>
      <c r="BV12" s="62">
        <f t="shared" si="35"/>
        <v>235.42</v>
      </c>
      <c r="BW12" s="63">
        <f t="shared" si="18"/>
        <v>45.22</v>
      </c>
      <c r="BX12" s="64">
        <f t="shared" si="18"/>
        <v>-61.37</v>
      </c>
      <c r="BY12" s="62">
        <f t="shared" si="18"/>
        <v>0</v>
      </c>
      <c r="BZ12" s="62">
        <f t="shared" si="19"/>
        <v>0</v>
      </c>
      <c r="CA12" s="100">
        <f t="shared" si="19"/>
        <v>0</v>
      </c>
      <c r="CB12" s="62">
        <f t="shared" si="19"/>
        <v>0</v>
      </c>
      <c r="CC12" s="62">
        <f t="shared" si="19"/>
        <v>0</v>
      </c>
      <c r="CD12" s="100">
        <f t="shared" si="19"/>
        <v>0</v>
      </c>
      <c r="CE12" s="62">
        <f t="shared" si="36"/>
        <v>12409.929939000001</v>
      </c>
      <c r="CF12" s="63">
        <f t="shared" si="20"/>
        <v>399.98</v>
      </c>
      <c r="CG12" s="64">
        <f t="shared" si="20"/>
        <v>-131.63999999999999</v>
      </c>
      <c r="CH12" s="94">
        <f t="shared" si="21"/>
        <v>12043.72105688889</v>
      </c>
      <c r="CI12" s="95">
        <f t="shared" si="22"/>
        <v>329.63777777777773</v>
      </c>
      <c r="CJ12" s="96">
        <f t="shared" si="23"/>
        <v>-36.17555555555554</v>
      </c>
      <c r="CK12" s="87">
        <v>129.29</v>
      </c>
      <c r="CL12" s="88"/>
      <c r="CM12" s="88"/>
      <c r="CN12" s="89"/>
      <c r="CO12" s="62">
        <f t="shared" si="37"/>
        <v>12149.851056888889</v>
      </c>
      <c r="CP12" s="63">
        <f t="shared" si="24"/>
        <v>374.85777777777776</v>
      </c>
      <c r="CQ12" s="64">
        <f t="shared" si="38"/>
        <v>-97.545555555555538</v>
      </c>
    </row>
    <row r="13" spans="1:95" ht="14.5" x14ac:dyDescent="0.35">
      <c r="A13" s="61" t="s">
        <v>378</v>
      </c>
      <c r="B13" s="87">
        <v>29983.06</v>
      </c>
      <c r="C13" s="88">
        <v>309.27</v>
      </c>
      <c r="D13" s="89">
        <v>0</v>
      </c>
      <c r="E13" s="87">
        <v>29983.059999999994</v>
      </c>
      <c r="F13" s="88">
        <v>309.27</v>
      </c>
      <c r="G13" s="89">
        <v>0</v>
      </c>
      <c r="H13" s="87">
        <v>0</v>
      </c>
      <c r="I13" s="88">
        <v>0</v>
      </c>
      <c r="J13" s="89">
        <v>0</v>
      </c>
      <c r="K13" s="87">
        <v>2282.34</v>
      </c>
      <c r="L13" s="88">
        <v>49.18</v>
      </c>
      <c r="M13" s="89">
        <v>0</v>
      </c>
      <c r="N13" s="87">
        <v>0</v>
      </c>
      <c r="O13" s="88">
        <v>0</v>
      </c>
      <c r="P13" s="89">
        <v>0</v>
      </c>
      <c r="Q13" s="62">
        <f t="shared" si="25"/>
        <v>32265.399999999994</v>
      </c>
      <c r="R13" s="63">
        <f t="shared" si="0"/>
        <v>358.45</v>
      </c>
      <c r="S13" s="64">
        <f t="shared" si="0"/>
        <v>0</v>
      </c>
      <c r="T13" s="62">
        <f t="shared" si="26"/>
        <v>32265.399999999994</v>
      </c>
      <c r="U13" s="63">
        <f t="shared" si="1"/>
        <v>358.45</v>
      </c>
      <c r="V13" s="64">
        <f t="shared" si="1"/>
        <v>0</v>
      </c>
      <c r="W13" s="62">
        <f t="shared" si="27"/>
        <v>0</v>
      </c>
      <c r="X13" s="63">
        <f t="shared" si="2"/>
        <v>0</v>
      </c>
      <c r="Y13" s="64">
        <f t="shared" si="2"/>
        <v>0</v>
      </c>
      <c r="Z13" s="103">
        <v>0</v>
      </c>
      <c r="AA13" s="103">
        <v>0</v>
      </c>
      <c r="AB13" s="103">
        <v>0</v>
      </c>
      <c r="AC13" s="108">
        <v>-109.70236</v>
      </c>
      <c r="AD13" s="108">
        <v>-1.2187299999999999</v>
      </c>
      <c r="AE13" s="108">
        <v>0</v>
      </c>
      <c r="AF13" s="62">
        <f t="shared" si="28"/>
        <v>32155.697639999995</v>
      </c>
      <c r="AG13" s="63">
        <f t="shared" si="3"/>
        <v>357.23126999999999</v>
      </c>
      <c r="AH13" s="64">
        <f t="shared" si="3"/>
        <v>0</v>
      </c>
      <c r="AI13" s="94">
        <f t="shared" si="29"/>
        <v>31468.052546666662</v>
      </c>
      <c r="AJ13" s="95">
        <f t="shared" si="4"/>
        <v>341.65042333333332</v>
      </c>
      <c r="AK13" s="96">
        <f t="shared" si="4"/>
        <v>0</v>
      </c>
      <c r="AL13" s="97">
        <v>78.42</v>
      </c>
      <c r="AM13" s="98"/>
      <c r="AN13" s="98"/>
      <c r="AO13" s="99"/>
      <c r="AP13" s="62">
        <f t="shared" si="30"/>
        <v>31389.632546666664</v>
      </c>
      <c r="AQ13" s="63">
        <f t="shared" si="30"/>
        <v>341.65042333333332</v>
      </c>
      <c r="AR13" s="63">
        <f t="shared" si="31"/>
        <v>0</v>
      </c>
      <c r="AS13" s="64">
        <f t="shared" si="5"/>
        <v>0</v>
      </c>
      <c r="AT13" s="62">
        <f t="shared" si="6"/>
        <v>32155.697639999995</v>
      </c>
      <c r="AU13" s="62">
        <f t="shared" si="7"/>
        <v>357.23126999999999</v>
      </c>
      <c r="AV13" s="100">
        <f t="shared" si="8"/>
        <v>0</v>
      </c>
      <c r="AW13" s="62">
        <f t="shared" si="9"/>
        <v>0</v>
      </c>
      <c r="AX13" s="63">
        <f t="shared" si="10"/>
        <v>0</v>
      </c>
      <c r="AY13" s="64">
        <f t="shared" si="11"/>
        <v>0</v>
      </c>
      <c r="AZ13" s="62">
        <f t="shared" si="40"/>
        <v>0</v>
      </c>
      <c r="BA13" s="63">
        <f t="shared" si="41"/>
        <v>0</v>
      </c>
      <c r="BB13" s="64">
        <f t="shared" si="42"/>
        <v>0</v>
      </c>
      <c r="BC13" s="87">
        <v>-109.329371976</v>
      </c>
      <c r="BD13" s="88">
        <v>-1.2145863179999998</v>
      </c>
      <c r="BE13" s="89">
        <v>0</v>
      </c>
      <c r="BF13" s="62">
        <f t="shared" si="32"/>
        <v>32046.368268023994</v>
      </c>
      <c r="BG13" s="63">
        <f t="shared" si="12"/>
        <v>356.01668368200001</v>
      </c>
      <c r="BH13" s="64">
        <f t="shared" si="12"/>
        <v>0</v>
      </c>
      <c r="BI13" s="94">
        <f t="shared" si="13"/>
        <v>32155.82196934133</v>
      </c>
      <c r="BJ13" s="95">
        <f t="shared" si="14"/>
        <v>357.23265122733329</v>
      </c>
      <c r="BK13" s="96">
        <f t="shared" si="15"/>
        <v>0</v>
      </c>
      <c r="BL13" s="87">
        <v>78.42</v>
      </c>
      <c r="BM13" s="88"/>
      <c r="BN13" s="88"/>
      <c r="BO13" s="89"/>
      <c r="BP13" s="62">
        <f t="shared" si="33"/>
        <v>32077.401969341332</v>
      </c>
      <c r="BQ13" s="63">
        <f t="shared" si="16"/>
        <v>357.23265122733329</v>
      </c>
      <c r="BR13" s="64">
        <f t="shared" si="34"/>
        <v>0</v>
      </c>
      <c r="BS13" s="62">
        <f t="shared" si="17"/>
        <v>32046.368268023994</v>
      </c>
      <c r="BT13" s="62">
        <f t="shared" si="17"/>
        <v>356.01668368200001</v>
      </c>
      <c r="BU13" s="100">
        <f t="shared" si="17"/>
        <v>0</v>
      </c>
      <c r="BV13" s="62">
        <f t="shared" si="35"/>
        <v>0</v>
      </c>
      <c r="BW13" s="63">
        <f t="shared" si="18"/>
        <v>0</v>
      </c>
      <c r="BX13" s="64">
        <f t="shared" si="18"/>
        <v>0</v>
      </c>
      <c r="BY13" s="87">
        <v>0</v>
      </c>
      <c r="BZ13" s="88">
        <v>0</v>
      </c>
      <c r="CA13" s="89">
        <v>0</v>
      </c>
      <c r="CB13" s="101">
        <f t="shared" ref="CB13:CD16" si="43">-(BS13*0.0034)</f>
        <v>-108.95765211128158</v>
      </c>
      <c r="CC13" s="101">
        <f t="shared" si="43"/>
        <v>-1.2104567245188</v>
      </c>
      <c r="CD13" s="102">
        <f t="shared" si="43"/>
        <v>0</v>
      </c>
      <c r="CE13" s="62">
        <f t="shared" si="36"/>
        <v>31937.410615912711</v>
      </c>
      <c r="CF13" s="63">
        <f t="shared" si="20"/>
        <v>354.80622695748121</v>
      </c>
      <c r="CG13" s="64">
        <f t="shared" si="20"/>
        <v>0</v>
      </c>
      <c r="CH13" s="94">
        <f t="shared" si="21"/>
        <v>31853.761710640236</v>
      </c>
      <c r="CI13" s="95">
        <f t="shared" si="22"/>
        <v>351.22976717271598</v>
      </c>
      <c r="CJ13" s="96">
        <f t="shared" si="23"/>
        <v>0</v>
      </c>
      <c r="CK13" s="87">
        <v>78.42</v>
      </c>
      <c r="CL13" s="88"/>
      <c r="CM13" s="88"/>
      <c r="CN13" s="89"/>
      <c r="CO13" s="62">
        <f t="shared" si="37"/>
        <v>31775.341710640238</v>
      </c>
      <c r="CP13" s="63">
        <f t="shared" si="24"/>
        <v>351.22976717271598</v>
      </c>
      <c r="CQ13" s="64">
        <f t="shared" si="38"/>
        <v>0</v>
      </c>
    </row>
    <row r="14" spans="1:95" ht="14.5" x14ac:dyDescent="0.35">
      <c r="A14" s="61" t="s">
        <v>379</v>
      </c>
      <c r="B14" s="87">
        <v>5088.51</v>
      </c>
      <c r="C14" s="88">
        <v>21.28</v>
      </c>
      <c r="D14" s="89">
        <v>0</v>
      </c>
      <c r="E14" s="87">
        <v>5088.510000000002</v>
      </c>
      <c r="F14" s="88">
        <v>21.279999999999998</v>
      </c>
      <c r="G14" s="89">
        <v>0</v>
      </c>
      <c r="H14" s="87">
        <v>156.91200000000001</v>
      </c>
      <c r="I14" s="88">
        <v>-0.45</v>
      </c>
      <c r="J14" s="89">
        <v>0</v>
      </c>
      <c r="K14" s="87">
        <v>935.01800000000003</v>
      </c>
      <c r="L14" s="88">
        <v>0</v>
      </c>
      <c r="M14" s="89">
        <v>0</v>
      </c>
      <c r="N14" s="87">
        <v>0</v>
      </c>
      <c r="O14" s="88">
        <v>0</v>
      </c>
      <c r="P14" s="89">
        <v>0</v>
      </c>
      <c r="Q14" s="62">
        <f t="shared" si="25"/>
        <v>6180.4400000000023</v>
      </c>
      <c r="R14" s="63">
        <f t="shared" si="0"/>
        <v>20.83</v>
      </c>
      <c r="S14" s="64">
        <f t="shared" si="0"/>
        <v>0</v>
      </c>
      <c r="T14" s="62">
        <f t="shared" si="26"/>
        <v>6180.4400000000023</v>
      </c>
      <c r="U14" s="63">
        <f t="shared" si="1"/>
        <v>20.83</v>
      </c>
      <c r="V14" s="64">
        <f t="shared" si="1"/>
        <v>0</v>
      </c>
      <c r="W14" s="62">
        <f t="shared" si="27"/>
        <v>156.91200000000001</v>
      </c>
      <c r="X14" s="63">
        <f t="shared" si="2"/>
        <v>-0.45</v>
      </c>
      <c r="Y14" s="64">
        <f t="shared" si="2"/>
        <v>0</v>
      </c>
      <c r="Z14" s="103">
        <v>0</v>
      </c>
      <c r="AA14" s="103">
        <v>0</v>
      </c>
      <c r="AB14" s="103">
        <v>0</v>
      </c>
      <c r="AC14" s="108">
        <v>-21.013495999999996</v>
      </c>
      <c r="AD14" s="108">
        <v>-7.0821999999999996E-2</v>
      </c>
      <c r="AE14" s="108">
        <v>0</v>
      </c>
      <c r="AF14" s="62">
        <f t="shared" si="28"/>
        <v>6316.338504000003</v>
      </c>
      <c r="AG14" s="63">
        <f t="shared" si="3"/>
        <v>20.309177999999999</v>
      </c>
      <c r="AH14" s="64">
        <f t="shared" si="3"/>
        <v>0</v>
      </c>
      <c r="AI14" s="94">
        <f t="shared" si="29"/>
        <v>5809.4588346666678</v>
      </c>
      <c r="AJ14" s="95">
        <f t="shared" si="4"/>
        <v>20.95639266666667</v>
      </c>
      <c r="AK14" s="96">
        <f t="shared" si="4"/>
        <v>0</v>
      </c>
      <c r="AL14" s="97">
        <v>167.18</v>
      </c>
      <c r="AM14" s="98"/>
      <c r="AN14" s="98"/>
      <c r="AO14" s="99"/>
      <c r="AP14" s="62">
        <f t="shared" si="30"/>
        <v>5799.1908346666678</v>
      </c>
      <c r="AQ14" s="63">
        <f t="shared" si="30"/>
        <v>20.50639266666667</v>
      </c>
      <c r="AR14" s="63">
        <f t="shared" si="31"/>
        <v>0</v>
      </c>
      <c r="AS14" s="64">
        <f t="shared" si="5"/>
        <v>0</v>
      </c>
      <c r="AT14" s="62">
        <f t="shared" si="6"/>
        <v>6316.338504000003</v>
      </c>
      <c r="AU14" s="62">
        <f t="shared" si="7"/>
        <v>20.309177999999999</v>
      </c>
      <c r="AV14" s="100">
        <f t="shared" si="8"/>
        <v>0</v>
      </c>
      <c r="AW14" s="62">
        <f t="shared" si="9"/>
        <v>156.91200000000001</v>
      </c>
      <c r="AX14" s="63">
        <f t="shared" si="10"/>
        <v>-0.45</v>
      </c>
      <c r="AY14" s="64">
        <f t="shared" si="11"/>
        <v>0</v>
      </c>
      <c r="AZ14" s="62">
        <f t="shared" si="40"/>
        <v>0</v>
      </c>
      <c r="BA14" s="63">
        <f t="shared" si="41"/>
        <v>0</v>
      </c>
      <c r="BB14" s="64">
        <f t="shared" si="42"/>
        <v>0</v>
      </c>
      <c r="BC14" s="87">
        <v>-21.475550913599996</v>
      </c>
      <c r="BD14" s="88">
        <v>-6.9051205199999993E-2</v>
      </c>
      <c r="BE14" s="89">
        <v>0</v>
      </c>
      <c r="BF14" s="62">
        <f t="shared" si="32"/>
        <v>6451.774953086403</v>
      </c>
      <c r="BG14" s="63">
        <f t="shared" si="12"/>
        <v>19.790126794799999</v>
      </c>
      <c r="BH14" s="64">
        <f t="shared" si="12"/>
        <v>0</v>
      </c>
      <c r="BI14" s="94">
        <f t="shared" si="13"/>
        <v>6263.8804856954694</v>
      </c>
      <c r="BJ14" s="95">
        <f t="shared" si="14"/>
        <v>20.459768264933334</v>
      </c>
      <c r="BK14" s="96">
        <f t="shared" si="15"/>
        <v>0</v>
      </c>
      <c r="BL14" s="87">
        <v>167.18</v>
      </c>
      <c r="BM14" s="88"/>
      <c r="BN14" s="88"/>
      <c r="BO14" s="89"/>
      <c r="BP14" s="62">
        <f t="shared" si="33"/>
        <v>6253.6124856954693</v>
      </c>
      <c r="BQ14" s="63">
        <f t="shared" si="16"/>
        <v>20.009768264933335</v>
      </c>
      <c r="BR14" s="64">
        <f t="shared" si="34"/>
        <v>0</v>
      </c>
      <c r="BS14" s="62">
        <f t="shared" si="17"/>
        <v>6451.774953086403</v>
      </c>
      <c r="BT14" s="62">
        <f t="shared" si="17"/>
        <v>19.790126794799999</v>
      </c>
      <c r="BU14" s="100">
        <f t="shared" si="17"/>
        <v>0</v>
      </c>
      <c r="BV14" s="62">
        <f t="shared" si="35"/>
        <v>156.91200000000001</v>
      </c>
      <c r="BW14" s="63">
        <f t="shared" si="18"/>
        <v>-0.45</v>
      </c>
      <c r="BX14" s="64">
        <f t="shared" si="18"/>
        <v>0</v>
      </c>
      <c r="BY14" s="87">
        <v>0</v>
      </c>
      <c r="BZ14" s="88">
        <v>0</v>
      </c>
      <c r="CA14" s="89">
        <v>0</v>
      </c>
      <c r="CB14" s="101">
        <f t="shared" si="43"/>
        <v>-21.936034840493768</v>
      </c>
      <c r="CC14" s="101">
        <f t="shared" si="43"/>
        <v>-6.7286431102319993E-2</v>
      </c>
      <c r="CD14" s="102">
        <f t="shared" si="43"/>
        <v>0</v>
      </c>
      <c r="CE14" s="62">
        <f t="shared" si="36"/>
        <v>6586.7509182459098</v>
      </c>
      <c r="CF14" s="63">
        <f t="shared" si="20"/>
        <v>19.272840363697679</v>
      </c>
      <c r="CG14" s="64">
        <f t="shared" si="20"/>
        <v>0</v>
      </c>
      <c r="CH14" s="94">
        <f t="shared" si="21"/>
        <v>6272.3340795360164</v>
      </c>
      <c r="CI14" s="95">
        <f t="shared" si="22"/>
        <v>20.079667098432562</v>
      </c>
      <c r="CJ14" s="96">
        <f t="shared" si="23"/>
        <v>0</v>
      </c>
      <c r="CK14" s="87">
        <v>167.18</v>
      </c>
      <c r="CL14" s="88"/>
      <c r="CM14" s="88"/>
      <c r="CN14" s="89"/>
      <c r="CO14" s="62">
        <f t="shared" si="37"/>
        <v>6262.0660795360163</v>
      </c>
      <c r="CP14" s="63">
        <f t="shared" si="24"/>
        <v>19.629667098432563</v>
      </c>
      <c r="CQ14" s="64">
        <f t="shared" si="38"/>
        <v>0</v>
      </c>
    </row>
    <row r="15" spans="1:95" ht="14.5" x14ac:dyDescent="0.35">
      <c r="A15" s="61" t="s">
        <v>380</v>
      </c>
      <c r="B15" s="87">
        <v>23962.51</v>
      </c>
      <c r="C15" s="88">
        <v>153.79</v>
      </c>
      <c r="D15" s="89">
        <v>0</v>
      </c>
      <c r="E15" s="87">
        <v>23962.510000000002</v>
      </c>
      <c r="F15" s="88">
        <v>153.79000000000002</v>
      </c>
      <c r="G15" s="89">
        <v>0</v>
      </c>
      <c r="H15" s="87">
        <v>3.8119999999999998</v>
      </c>
      <c r="I15" s="88">
        <v>-6.34</v>
      </c>
      <c r="J15" s="89">
        <v>0</v>
      </c>
      <c r="K15" s="87">
        <v>4554.2479999999996</v>
      </c>
      <c r="L15" s="88">
        <v>0</v>
      </c>
      <c r="M15" s="89">
        <v>0</v>
      </c>
      <c r="N15" s="87">
        <v>0</v>
      </c>
      <c r="O15" s="88">
        <v>0</v>
      </c>
      <c r="P15" s="89">
        <v>0</v>
      </c>
      <c r="Q15" s="62">
        <f t="shared" si="25"/>
        <v>28520.570000000003</v>
      </c>
      <c r="R15" s="63">
        <f t="shared" si="0"/>
        <v>147.45000000000002</v>
      </c>
      <c r="S15" s="64">
        <f t="shared" si="0"/>
        <v>0</v>
      </c>
      <c r="T15" s="62">
        <f t="shared" si="26"/>
        <v>28520.570000000003</v>
      </c>
      <c r="U15" s="63">
        <f t="shared" si="1"/>
        <v>147.45000000000002</v>
      </c>
      <c r="V15" s="64">
        <f t="shared" si="1"/>
        <v>0</v>
      </c>
      <c r="W15" s="62">
        <f t="shared" si="27"/>
        <v>3.8119999999999998</v>
      </c>
      <c r="X15" s="63">
        <f t="shared" si="2"/>
        <v>-6.34</v>
      </c>
      <c r="Y15" s="64">
        <f t="shared" si="2"/>
        <v>0</v>
      </c>
      <c r="Z15" s="103">
        <v>0</v>
      </c>
      <c r="AA15" s="103">
        <v>0</v>
      </c>
      <c r="AB15" s="103">
        <v>0</v>
      </c>
      <c r="AC15" s="108">
        <v>-96.969937999999999</v>
      </c>
      <c r="AD15" s="108">
        <v>-0.50132999999999994</v>
      </c>
      <c r="AE15" s="108">
        <v>0</v>
      </c>
      <c r="AF15" s="62">
        <f t="shared" si="28"/>
        <v>28427.412062000007</v>
      </c>
      <c r="AG15" s="63">
        <f t="shared" si="3"/>
        <v>140.60867000000002</v>
      </c>
      <c r="AH15" s="64">
        <f t="shared" si="3"/>
        <v>0</v>
      </c>
      <c r="AI15" s="94">
        <f t="shared" si="29"/>
        <v>26968.893354</v>
      </c>
      <c r="AJ15" s="95">
        <f t="shared" si="4"/>
        <v>149.39622333333332</v>
      </c>
      <c r="AK15" s="96">
        <f t="shared" si="4"/>
        <v>0</v>
      </c>
      <c r="AL15" s="97">
        <v>583.12</v>
      </c>
      <c r="AM15" s="98"/>
      <c r="AN15" s="98"/>
      <c r="AO15" s="99"/>
      <c r="AP15" s="62">
        <f t="shared" si="30"/>
        <v>26389.585354000003</v>
      </c>
      <c r="AQ15" s="63">
        <f t="shared" si="30"/>
        <v>143.05622333333332</v>
      </c>
      <c r="AR15" s="63">
        <f t="shared" si="31"/>
        <v>0</v>
      </c>
      <c r="AS15" s="64">
        <f t="shared" si="5"/>
        <v>0</v>
      </c>
      <c r="AT15" s="62">
        <f t="shared" si="6"/>
        <v>28427.412062000007</v>
      </c>
      <c r="AU15" s="62">
        <f t="shared" si="7"/>
        <v>140.60867000000002</v>
      </c>
      <c r="AV15" s="100">
        <f t="shared" si="8"/>
        <v>0</v>
      </c>
      <c r="AW15" s="62">
        <f t="shared" si="9"/>
        <v>3.8119999999999998</v>
      </c>
      <c r="AX15" s="63">
        <f t="shared" si="10"/>
        <v>-6.34</v>
      </c>
      <c r="AY15" s="64">
        <f t="shared" si="11"/>
        <v>0</v>
      </c>
      <c r="AZ15" s="62">
        <f t="shared" si="40"/>
        <v>0</v>
      </c>
      <c r="BA15" s="63">
        <f t="shared" si="41"/>
        <v>0</v>
      </c>
      <c r="BB15" s="64">
        <f t="shared" si="42"/>
        <v>0</v>
      </c>
      <c r="BC15" s="87">
        <v>-96.653201010799989</v>
      </c>
      <c r="BD15" s="88">
        <v>-0.47806947799999994</v>
      </c>
      <c r="BE15" s="89">
        <v>0</v>
      </c>
      <c r="BF15" s="62">
        <f t="shared" si="32"/>
        <v>28334.57086098921</v>
      </c>
      <c r="BG15" s="63">
        <f t="shared" si="12"/>
        <v>133.79060052200001</v>
      </c>
      <c r="BH15" s="64">
        <f t="shared" si="12"/>
        <v>0</v>
      </c>
      <c r="BI15" s="94">
        <f t="shared" si="13"/>
        <v>28426.246974329737</v>
      </c>
      <c r="BJ15" s="95">
        <f t="shared" si="14"/>
        <v>142.72975684066665</v>
      </c>
      <c r="BK15" s="96">
        <f t="shared" si="15"/>
        <v>0</v>
      </c>
      <c r="BL15" s="87">
        <v>583.12</v>
      </c>
      <c r="BM15" s="88"/>
      <c r="BN15" s="88"/>
      <c r="BO15" s="89"/>
      <c r="BP15" s="62">
        <f t="shared" si="33"/>
        <v>27846.93897432974</v>
      </c>
      <c r="BQ15" s="63">
        <f t="shared" si="16"/>
        <v>136.38975684066665</v>
      </c>
      <c r="BR15" s="64">
        <f t="shared" si="34"/>
        <v>0</v>
      </c>
      <c r="BS15" s="62">
        <f t="shared" si="17"/>
        <v>28334.57086098921</v>
      </c>
      <c r="BT15" s="62">
        <f t="shared" si="17"/>
        <v>133.79060052200001</v>
      </c>
      <c r="BU15" s="100">
        <f t="shared" si="17"/>
        <v>0</v>
      </c>
      <c r="BV15" s="62">
        <f t="shared" si="35"/>
        <v>3.8119999999999998</v>
      </c>
      <c r="BW15" s="63">
        <f t="shared" si="18"/>
        <v>-6.34</v>
      </c>
      <c r="BX15" s="64">
        <f t="shared" si="18"/>
        <v>0</v>
      </c>
      <c r="BY15" s="87">
        <v>0</v>
      </c>
      <c r="BZ15" s="88">
        <v>0</v>
      </c>
      <c r="CA15" s="89">
        <v>0</v>
      </c>
      <c r="CB15" s="101">
        <f t="shared" si="43"/>
        <v>-96.337540927363307</v>
      </c>
      <c r="CC15" s="101">
        <f t="shared" si="43"/>
        <v>-0.45488804177479997</v>
      </c>
      <c r="CD15" s="102">
        <f t="shared" si="43"/>
        <v>0</v>
      </c>
      <c r="CE15" s="62">
        <f t="shared" si="36"/>
        <v>28242.045320061847</v>
      </c>
      <c r="CF15" s="63">
        <f t="shared" si="20"/>
        <v>126.99571248022521</v>
      </c>
      <c r="CG15" s="64">
        <f t="shared" si="20"/>
        <v>0</v>
      </c>
      <c r="CH15" s="94">
        <f t="shared" si="21"/>
        <v>27880.332549463859</v>
      </c>
      <c r="CI15" s="95">
        <f t="shared" si="22"/>
        <v>137.59389755140839</v>
      </c>
      <c r="CJ15" s="96">
        <f t="shared" si="23"/>
        <v>0</v>
      </c>
      <c r="CK15" s="87">
        <v>583.12</v>
      </c>
      <c r="CL15" s="88"/>
      <c r="CM15" s="88"/>
      <c r="CN15" s="89"/>
      <c r="CO15" s="62">
        <f t="shared" si="37"/>
        <v>27301.024549463862</v>
      </c>
      <c r="CP15" s="63">
        <f t="shared" si="24"/>
        <v>131.25389755140839</v>
      </c>
      <c r="CQ15" s="64">
        <f t="shared" si="38"/>
        <v>0</v>
      </c>
    </row>
    <row r="16" spans="1:95" ht="14.5" x14ac:dyDescent="0.35">
      <c r="A16" s="61" t="s">
        <v>381</v>
      </c>
      <c r="B16" s="87">
        <v>1318.93</v>
      </c>
      <c r="C16" s="88">
        <v>91.78</v>
      </c>
      <c r="D16" s="89">
        <v>3.13</v>
      </c>
      <c r="E16" s="87">
        <v>1318.9300000000003</v>
      </c>
      <c r="F16" s="88">
        <v>91.78</v>
      </c>
      <c r="G16" s="89">
        <v>3.13</v>
      </c>
      <c r="H16" s="87">
        <v>10.596</v>
      </c>
      <c r="I16" s="88">
        <v>-16.29</v>
      </c>
      <c r="J16" s="89">
        <v>-0.8</v>
      </c>
      <c r="K16" s="87">
        <v>73.334000000000003</v>
      </c>
      <c r="L16" s="88">
        <v>0</v>
      </c>
      <c r="M16" s="89">
        <v>0</v>
      </c>
      <c r="N16" s="87">
        <v>0</v>
      </c>
      <c r="O16" s="88">
        <v>0</v>
      </c>
      <c r="P16" s="89">
        <v>0</v>
      </c>
      <c r="Q16" s="62">
        <f t="shared" si="25"/>
        <v>1402.8600000000004</v>
      </c>
      <c r="R16" s="63">
        <f t="shared" si="0"/>
        <v>75.490000000000009</v>
      </c>
      <c r="S16" s="64">
        <f t="shared" si="0"/>
        <v>2.33</v>
      </c>
      <c r="T16" s="62">
        <f t="shared" si="26"/>
        <v>1402.8600000000004</v>
      </c>
      <c r="U16" s="63">
        <f t="shared" si="1"/>
        <v>75.490000000000009</v>
      </c>
      <c r="V16" s="64">
        <f t="shared" si="1"/>
        <v>2.33</v>
      </c>
      <c r="W16" s="62">
        <f t="shared" si="27"/>
        <v>10.596</v>
      </c>
      <c r="X16" s="63">
        <f t="shared" si="2"/>
        <v>-16.29</v>
      </c>
      <c r="Y16" s="64">
        <f t="shared" si="2"/>
        <v>-0.8</v>
      </c>
      <c r="Z16" s="103">
        <v>0</v>
      </c>
      <c r="AA16" s="103">
        <v>0</v>
      </c>
      <c r="AB16" s="103">
        <v>0</v>
      </c>
      <c r="AC16" s="108">
        <v>-4.7697239999999992</v>
      </c>
      <c r="AD16" s="108">
        <v>-0.25666599999999995</v>
      </c>
      <c r="AE16" s="108">
        <v>-7.9220000000000002E-3</v>
      </c>
      <c r="AF16" s="62">
        <f t="shared" si="28"/>
        <v>1408.6862760000004</v>
      </c>
      <c r="AG16" s="63">
        <f t="shared" si="3"/>
        <v>58.943334000000007</v>
      </c>
      <c r="AH16" s="64">
        <f t="shared" si="3"/>
        <v>1.522078</v>
      </c>
      <c r="AI16" s="94">
        <f t="shared" si="29"/>
        <v>1373.293425333334</v>
      </c>
      <c r="AJ16" s="95">
        <f t="shared" si="4"/>
        <v>80.83444466666667</v>
      </c>
      <c r="AK16" s="96">
        <f t="shared" si="4"/>
        <v>2.5940259999999999</v>
      </c>
      <c r="AL16" s="97">
        <v>3.38</v>
      </c>
      <c r="AM16" s="98"/>
      <c r="AN16" s="98"/>
      <c r="AO16" s="99"/>
      <c r="AP16" s="62">
        <f t="shared" si="30"/>
        <v>1380.5094253333339</v>
      </c>
      <c r="AQ16" s="63">
        <f t="shared" si="30"/>
        <v>64.544444666666664</v>
      </c>
      <c r="AR16" s="63">
        <f t="shared" si="31"/>
        <v>1.7940259999999999</v>
      </c>
      <c r="AS16" s="64">
        <f t="shared" si="5"/>
        <v>1.522078</v>
      </c>
      <c r="AT16" s="62">
        <f t="shared" si="6"/>
        <v>1408.6862760000004</v>
      </c>
      <c r="AU16" s="62">
        <f t="shared" si="7"/>
        <v>58.943334000000007</v>
      </c>
      <c r="AV16" s="100">
        <f t="shared" si="8"/>
        <v>1.522078</v>
      </c>
      <c r="AW16" s="62">
        <f t="shared" si="9"/>
        <v>10.596</v>
      </c>
      <c r="AX16" s="63">
        <f t="shared" si="10"/>
        <v>-16.29</v>
      </c>
      <c r="AY16" s="64">
        <f t="shared" si="11"/>
        <v>-0.8</v>
      </c>
      <c r="AZ16" s="62">
        <f t="shared" si="40"/>
        <v>0</v>
      </c>
      <c r="BA16" s="63">
        <f t="shared" si="41"/>
        <v>0</v>
      </c>
      <c r="BB16" s="64">
        <f t="shared" si="42"/>
        <v>0</v>
      </c>
      <c r="BC16" s="87">
        <v>-4.7895333383999992</v>
      </c>
      <c r="BD16" s="88">
        <v>-0.20040733559999996</v>
      </c>
      <c r="BE16" s="89">
        <v>-5.1750651999999996E-3</v>
      </c>
      <c r="BF16" s="62">
        <f t="shared" si="32"/>
        <v>1414.4927426616005</v>
      </c>
      <c r="BG16" s="63">
        <f t="shared" si="12"/>
        <v>42.45292666440001</v>
      </c>
      <c r="BH16" s="64">
        <f t="shared" si="12"/>
        <v>0.7169029348</v>
      </c>
      <c r="BI16" s="94">
        <f t="shared" si="13"/>
        <v>1405.1476728872005</v>
      </c>
      <c r="BJ16" s="95">
        <f t="shared" si="14"/>
        <v>64.392086888133335</v>
      </c>
      <c r="BK16" s="96">
        <f t="shared" si="15"/>
        <v>1.7896603115999998</v>
      </c>
      <c r="BL16" s="87">
        <v>3.38</v>
      </c>
      <c r="BM16" s="88"/>
      <c r="BN16" s="88"/>
      <c r="BO16" s="89"/>
      <c r="BP16" s="62">
        <f t="shared" si="33"/>
        <v>1412.3636728872004</v>
      </c>
      <c r="BQ16" s="63">
        <f t="shared" si="16"/>
        <v>48.102086888133336</v>
      </c>
      <c r="BR16" s="64">
        <f t="shared" si="34"/>
        <v>0.98966031159999979</v>
      </c>
      <c r="BS16" s="62">
        <f t="shared" si="17"/>
        <v>1414.4927426616005</v>
      </c>
      <c r="BT16" s="62">
        <f t="shared" si="17"/>
        <v>42.45292666440001</v>
      </c>
      <c r="BU16" s="100">
        <f t="shared" si="17"/>
        <v>0.7169029348</v>
      </c>
      <c r="BV16" s="62">
        <f t="shared" si="35"/>
        <v>10.596</v>
      </c>
      <c r="BW16" s="63">
        <f t="shared" si="18"/>
        <v>-16.29</v>
      </c>
      <c r="BX16" s="64">
        <f t="shared" si="18"/>
        <v>-0.8</v>
      </c>
      <c r="BY16" s="87">
        <v>0</v>
      </c>
      <c r="BZ16" s="88">
        <v>0</v>
      </c>
      <c r="CA16" s="89">
        <v>0</v>
      </c>
      <c r="CB16" s="101">
        <f t="shared" si="43"/>
        <v>-4.8092753250494411</v>
      </c>
      <c r="CC16" s="101">
        <f t="shared" si="43"/>
        <v>-0.14433995065896002</v>
      </c>
      <c r="CD16" s="102">
        <f t="shared" si="43"/>
        <v>-2.4374699783199999E-3</v>
      </c>
      <c r="CE16" s="62">
        <f t="shared" si="36"/>
        <v>1420.2794673365511</v>
      </c>
      <c r="CF16" s="63">
        <f t="shared" si="20"/>
        <v>26.018586713741051</v>
      </c>
      <c r="CG16" s="64">
        <f t="shared" si="20"/>
        <v>-8.5534535178320048E-2</v>
      </c>
      <c r="CH16" s="94">
        <f t="shared" si="21"/>
        <v>1403.1055218523622</v>
      </c>
      <c r="CI16" s="95">
        <f t="shared" si="22"/>
        <v>51.651706089513688</v>
      </c>
      <c r="CJ16" s="96">
        <f t="shared" si="23"/>
        <v>1.1660505921405599</v>
      </c>
      <c r="CK16" s="87">
        <v>3.38</v>
      </c>
      <c r="CL16" s="88"/>
      <c r="CM16" s="88"/>
      <c r="CN16" s="89"/>
      <c r="CO16" s="62">
        <f t="shared" si="37"/>
        <v>1410.3215218523621</v>
      </c>
      <c r="CP16" s="63">
        <f t="shared" si="24"/>
        <v>35.361706089513689</v>
      </c>
      <c r="CQ16" s="64">
        <f t="shared" si="38"/>
        <v>0.36605059214055991</v>
      </c>
    </row>
    <row r="17" spans="1:95" ht="14.5" x14ac:dyDescent="0.35">
      <c r="A17" s="61" t="s">
        <v>382</v>
      </c>
      <c r="B17" s="87">
        <v>7758.61</v>
      </c>
      <c r="C17" s="88">
        <v>40.67</v>
      </c>
      <c r="D17" s="89">
        <v>738.4</v>
      </c>
      <c r="E17" s="87">
        <v>7758.6100003561596</v>
      </c>
      <c r="F17" s="88">
        <v>40.669999999999959</v>
      </c>
      <c r="G17" s="89">
        <v>738.4</v>
      </c>
      <c r="H17" s="87">
        <v>1158.8599999999999</v>
      </c>
      <c r="I17" s="88">
        <v>21.2</v>
      </c>
      <c r="J17" s="89">
        <v>-41.4</v>
      </c>
      <c r="K17" s="87">
        <v>514.03</v>
      </c>
      <c r="L17" s="88">
        <v>0</v>
      </c>
      <c r="M17" s="89">
        <v>0</v>
      </c>
      <c r="N17" s="87">
        <v>0</v>
      </c>
      <c r="O17" s="88">
        <v>0</v>
      </c>
      <c r="P17" s="89">
        <v>0</v>
      </c>
      <c r="Q17" s="62">
        <f t="shared" si="25"/>
        <v>9431.5000003561599</v>
      </c>
      <c r="R17" s="63">
        <f t="shared" si="0"/>
        <v>61.869999999999962</v>
      </c>
      <c r="S17" s="64">
        <f t="shared" si="0"/>
        <v>697</v>
      </c>
      <c r="T17" s="62">
        <f t="shared" si="26"/>
        <v>9431.5000003561599</v>
      </c>
      <c r="U17" s="63">
        <f t="shared" si="1"/>
        <v>61.869999999999962</v>
      </c>
      <c r="V17" s="64">
        <f t="shared" si="1"/>
        <v>697</v>
      </c>
      <c r="W17" s="62">
        <f t="shared" si="27"/>
        <v>1158.8599999999999</v>
      </c>
      <c r="X17" s="63">
        <f t="shared" si="2"/>
        <v>21.2</v>
      </c>
      <c r="Y17" s="64">
        <f t="shared" si="2"/>
        <v>-41.4</v>
      </c>
      <c r="Z17" s="103">
        <v>0</v>
      </c>
      <c r="AA17" s="103">
        <v>0</v>
      </c>
      <c r="AB17" s="103">
        <v>0</v>
      </c>
      <c r="AC17" s="92">
        <v>0</v>
      </c>
      <c r="AD17" s="92">
        <v>0</v>
      </c>
      <c r="AE17" s="92">
        <v>0</v>
      </c>
      <c r="AF17" s="62">
        <f t="shared" si="28"/>
        <v>10590.360000356161</v>
      </c>
      <c r="AG17" s="63">
        <f t="shared" si="3"/>
        <v>83.069999999999965</v>
      </c>
      <c r="AH17" s="64">
        <f t="shared" si="3"/>
        <v>655.6</v>
      </c>
      <c r="AI17" s="94">
        <f t="shared" si="29"/>
        <v>8873.8700002374389</v>
      </c>
      <c r="AJ17" s="95">
        <f t="shared" si="4"/>
        <v>54.803333333333313</v>
      </c>
      <c r="AK17" s="96">
        <f t="shared" si="4"/>
        <v>710.80000000000007</v>
      </c>
      <c r="AL17" s="97">
        <v>45.02</v>
      </c>
      <c r="AM17" s="98"/>
      <c r="AN17" s="98"/>
      <c r="AO17" s="99"/>
      <c r="AP17" s="62">
        <f t="shared" si="30"/>
        <v>9987.7100002374391</v>
      </c>
      <c r="AQ17" s="63">
        <f t="shared" si="30"/>
        <v>76.003333333333316</v>
      </c>
      <c r="AR17" s="63">
        <f t="shared" si="31"/>
        <v>669.40000000000009</v>
      </c>
      <c r="AS17" s="64">
        <f t="shared" si="5"/>
        <v>655.6</v>
      </c>
      <c r="AT17" s="62">
        <f t="shared" si="6"/>
        <v>10590.360000356161</v>
      </c>
      <c r="AU17" s="62">
        <f t="shared" si="7"/>
        <v>83.069999999999965</v>
      </c>
      <c r="AV17" s="100">
        <f t="shared" si="8"/>
        <v>655.6</v>
      </c>
      <c r="AW17" s="62">
        <f t="shared" si="9"/>
        <v>1158.8599999999999</v>
      </c>
      <c r="AX17" s="63">
        <f t="shared" si="10"/>
        <v>21.2</v>
      </c>
      <c r="AY17" s="64">
        <f t="shared" si="11"/>
        <v>-41.4</v>
      </c>
      <c r="AZ17" s="62">
        <f t="shared" si="40"/>
        <v>0</v>
      </c>
      <c r="BA17" s="63">
        <f t="shared" si="41"/>
        <v>0</v>
      </c>
      <c r="BB17" s="64">
        <f t="shared" si="42"/>
        <v>0</v>
      </c>
      <c r="BC17" s="87">
        <v>0</v>
      </c>
      <c r="BD17" s="88">
        <v>0</v>
      </c>
      <c r="BE17" s="89">
        <v>0</v>
      </c>
      <c r="BF17" s="62">
        <f t="shared" si="32"/>
        <v>11749.220000356161</v>
      </c>
      <c r="BG17" s="63">
        <f t="shared" si="12"/>
        <v>104.26999999999997</v>
      </c>
      <c r="BH17" s="64">
        <f t="shared" si="12"/>
        <v>614.20000000000005</v>
      </c>
      <c r="BI17" s="94">
        <f t="shared" si="13"/>
        <v>10204.073333689494</v>
      </c>
      <c r="BJ17" s="95">
        <f t="shared" si="14"/>
        <v>76.003333333333316</v>
      </c>
      <c r="BK17" s="96">
        <f t="shared" si="15"/>
        <v>669.4</v>
      </c>
      <c r="BL17" s="87">
        <v>45.02</v>
      </c>
      <c r="BM17" s="88"/>
      <c r="BN17" s="88"/>
      <c r="BO17" s="89"/>
      <c r="BP17" s="62">
        <f t="shared" si="33"/>
        <v>11317.913333689494</v>
      </c>
      <c r="BQ17" s="63">
        <f t="shared" si="16"/>
        <v>97.203333333333319</v>
      </c>
      <c r="BR17" s="64">
        <f t="shared" si="34"/>
        <v>628</v>
      </c>
      <c r="BS17" s="62">
        <f t="shared" si="17"/>
        <v>11749.220000356161</v>
      </c>
      <c r="BT17" s="62">
        <f t="shared" si="17"/>
        <v>104.26999999999997</v>
      </c>
      <c r="BU17" s="100">
        <f t="shared" si="17"/>
        <v>614.20000000000005</v>
      </c>
      <c r="BV17" s="62">
        <f t="shared" si="35"/>
        <v>1158.8599999999999</v>
      </c>
      <c r="BW17" s="63">
        <f t="shared" si="18"/>
        <v>21.2</v>
      </c>
      <c r="BX17" s="64">
        <f t="shared" si="18"/>
        <v>-41.4</v>
      </c>
      <c r="BY17" s="62">
        <f t="shared" si="18"/>
        <v>0</v>
      </c>
      <c r="BZ17" s="62">
        <f t="shared" si="19"/>
        <v>0</v>
      </c>
      <c r="CA17" s="100">
        <f t="shared" si="19"/>
        <v>0</v>
      </c>
      <c r="CB17" s="62">
        <f>+BC17</f>
        <v>0</v>
      </c>
      <c r="CC17" s="62">
        <f>+BD17</f>
        <v>0</v>
      </c>
      <c r="CD17" s="100">
        <f>+BE17</f>
        <v>0</v>
      </c>
      <c r="CE17" s="62">
        <f t="shared" si="36"/>
        <v>12908.080000356162</v>
      </c>
      <c r="CF17" s="63">
        <f t="shared" si="20"/>
        <v>125.46999999999997</v>
      </c>
      <c r="CG17" s="64">
        <f t="shared" si="20"/>
        <v>572.80000000000007</v>
      </c>
      <c r="CH17" s="94">
        <f t="shared" si="21"/>
        <v>11048.29444476103</v>
      </c>
      <c r="CI17" s="95">
        <f t="shared" si="22"/>
        <v>92.49222222222221</v>
      </c>
      <c r="CJ17" s="96">
        <f t="shared" si="23"/>
        <v>637.20000000000016</v>
      </c>
      <c r="CK17" s="87">
        <v>45.02</v>
      </c>
      <c r="CL17" s="88"/>
      <c r="CM17" s="88"/>
      <c r="CN17" s="89"/>
      <c r="CO17" s="62">
        <f t="shared" si="37"/>
        <v>12162.13444476103</v>
      </c>
      <c r="CP17" s="63">
        <f t="shared" si="24"/>
        <v>113.69222222222221</v>
      </c>
      <c r="CQ17" s="64">
        <f t="shared" si="38"/>
        <v>595.80000000000018</v>
      </c>
    </row>
    <row r="18" spans="1:95" ht="14.5" x14ac:dyDescent="0.35">
      <c r="A18" s="61" t="s">
        <v>383</v>
      </c>
      <c r="B18" s="87">
        <v>17898.23</v>
      </c>
      <c r="C18" s="88">
        <v>30.3</v>
      </c>
      <c r="D18" s="89">
        <v>0</v>
      </c>
      <c r="E18" s="87">
        <v>17898.23</v>
      </c>
      <c r="F18" s="88">
        <v>30.3</v>
      </c>
      <c r="G18" s="89">
        <v>0</v>
      </c>
      <c r="H18" s="87">
        <v>166.50399999999999</v>
      </c>
      <c r="I18" s="88">
        <v>11.31</v>
      </c>
      <c r="J18" s="89">
        <v>0</v>
      </c>
      <c r="K18" s="87">
        <v>1536.5060000000001</v>
      </c>
      <c r="L18" s="88">
        <v>0</v>
      </c>
      <c r="M18" s="89">
        <v>0</v>
      </c>
      <c r="N18" s="87">
        <v>0</v>
      </c>
      <c r="O18" s="88">
        <v>0</v>
      </c>
      <c r="P18" s="89">
        <v>0</v>
      </c>
      <c r="Q18" s="62">
        <f t="shared" si="25"/>
        <v>19601.240000000002</v>
      </c>
      <c r="R18" s="63">
        <f t="shared" si="0"/>
        <v>41.61</v>
      </c>
      <c r="S18" s="64">
        <f t="shared" si="0"/>
        <v>0</v>
      </c>
      <c r="T18" s="62">
        <f t="shared" si="26"/>
        <v>19601.240000000002</v>
      </c>
      <c r="U18" s="63">
        <f t="shared" si="1"/>
        <v>41.61</v>
      </c>
      <c r="V18" s="64">
        <f t="shared" si="1"/>
        <v>0</v>
      </c>
      <c r="W18" s="62">
        <f t="shared" si="27"/>
        <v>166.50399999999999</v>
      </c>
      <c r="X18" s="63">
        <f t="shared" si="2"/>
        <v>11.31</v>
      </c>
      <c r="Y18" s="64">
        <f t="shared" si="2"/>
        <v>0</v>
      </c>
      <c r="Z18" s="103">
        <v>0</v>
      </c>
      <c r="AA18" s="103">
        <v>0</v>
      </c>
      <c r="AB18" s="103">
        <v>0</v>
      </c>
      <c r="AC18" s="108">
        <v>-66.644216</v>
      </c>
      <c r="AD18" s="108">
        <v>-0.14147399999999999</v>
      </c>
      <c r="AE18" s="108">
        <v>0</v>
      </c>
      <c r="AF18" s="62">
        <f t="shared" si="28"/>
        <v>19701.099784000002</v>
      </c>
      <c r="AG18" s="63">
        <f t="shared" si="3"/>
        <v>52.778525999999999</v>
      </c>
      <c r="AH18" s="64">
        <f t="shared" si="3"/>
        <v>0</v>
      </c>
      <c r="AI18" s="94">
        <f t="shared" si="29"/>
        <v>19011.355261333334</v>
      </c>
      <c r="AJ18" s="95">
        <f t="shared" si="4"/>
        <v>37.792842</v>
      </c>
      <c r="AK18" s="96">
        <f t="shared" si="4"/>
        <v>0</v>
      </c>
      <c r="AL18" s="97">
        <v>221.06</v>
      </c>
      <c r="AM18" s="98"/>
      <c r="AN18" s="98"/>
      <c r="AO18" s="99"/>
      <c r="AP18" s="62">
        <f t="shared" si="30"/>
        <v>18956.799261333334</v>
      </c>
      <c r="AQ18" s="63">
        <f t="shared" si="30"/>
        <v>49.102842000000003</v>
      </c>
      <c r="AR18" s="63">
        <f t="shared" si="31"/>
        <v>0</v>
      </c>
      <c r="AS18" s="64">
        <f t="shared" si="5"/>
        <v>0</v>
      </c>
      <c r="AT18" s="62">
        <f t="shared" si="6"/>
        <v>19701.099784000002</v>
      </c>
      <c r="AU18" s="62">
        <f t="shared" si="7"/>
        <v>52.778525999999999</v>
      </c>
      <c r="AV18" s="100">
        <f t="shared" si="8"/>
        <v>0</v>
      </c>
      <c r="AW18" s="62">
        <f t="shared" si="9"/>
        <v>166.50399999999999</v>
      </c>
      <c r="AX18" s="63">
        <f t="shared" si="10"/>
        <v>11.31</v>
      </c>
      <c r="AY18" s="64">
        <f t="shared" si="11"/>
        <v>0</v>
      </c>
      <c r="AZ18" s="62">
        <f t="shared" si="40"/>
        <v>0</v>
      </c>
      <c r="BA18" s="63">
        <f t="shared" si="41"/>
        <v>0</v>
      </c>
      <c r="BB18" s="64">
        <f t="shared" si="42"/>
        <v>0</v>
      </c>
      <c r="BC18" s="87">
        <v>-66.983739265600008</v>
      </c>
      <c r="BD18" s="88">
        <v>-0.17944698839999998</v>
      </c>
      <c r="BE18" s="89">
        <v>0</v>
      </c>
      <c r="BF18" s="62">
        <f t="shared" si="32"/>
        <v>19800.620044734402</v>
      </c>
      <c r="BG18" s="63">
        <f t="shared" si="12"/>
        <v>63.909079011599999</v>
      </c>
      <c r="BH18" s="64">
        <f t="shared" si="12"/>
        <v>0</v>
      </c>
      <c r="BI18" s="94">
        <f t="shared" si="13"/>
        <v>19645.485276244803</v>
      </c>
      <c r="BJ18" s="95">
        <f t="shared" si="14"/>
        <v>48.995868337200001</v>
      </c>
      <c r="BK18" s="96">
        <f t="shared" si="15"/>
        <v>0</v>
      </c>
      <c r="BL18" s="87">
        <v>221.06</v>
      </c>
      <c r="BM18" s="88"/>
      <c r="BN18" s="88"/>
      <c r="BO18" s="89"/>
      <c r="BP18" s="62">
        <f t="shared" si="33"/>
        <v>19590.929276244802</v>
      </c>
      <c r="BQ18" s="63">
        <f t="shared" si="16"/>
        <v>60.305868337200003</v>
      </c>
      <c r="BR18" s="64">
        <f t="shared" si="34"/>
        <v>0</v>
      </c>
      <c r="BS18" s="62">
        <f t="shared" si="17"/>
        <v>19800.620044734402</v>
      </c>
      <c r="BT18" s="62">
        <f t="shared" si="17"/>
        <v>63.909079011599999</v>
      </c>
      <c r="BU18" s="100">
        <f t="shared" si="17"/>
        <v>0</v>
      </c>
      <c r="BV18" s="62">
        <f t="shared" si="35"/>
        <v>166.50399999999999</v>
      </c>
      <c r="BW18" s="63">
        <f t="shared" si="18"/>
        <v>11.31</v>
      </c>
      <c r="BX18" s="64">
        <f t="shared" si="18"/>
        <v>0</v>
      </c>
      <c r="BY18" s="87">
        <v>0</v>
      </c>
      <c r="BZ18" s="88">
        <v>0</v>
      </c>
      <c r="CA18" s="89">
        <v>0</v>
      </c>
      <c r="CB18" s="101">
        <f>-(BS18*0.0034)</f>
        <v>-67.322108152096959</v>
      </c>
      <c r="CC18" s="101">
        <f>-(BT18*0.0034)</f>
        <v>-0.21729086863944</v>
      </c>
      <c r="CD18" s="102">
        <f>-(BU18*0.0034)</f>
        <v>0</v>
      </c>
      <c r="CE18" s="62">
        <f t="shared" si="36"/>
        <v>19899.801936582306</v>
      </c>
      <c r="CF18" s="63">
        <f t="shared" si="20"/>
        <v>75.001788142960564</v>
      </c>
      <c r="CG18" s="64">
        <f t="shared" si="20"/>
        <v>0</v>
      </c>
      <c r="CH18" s="94">
        <f t="shared" si="21"/>
        <v>19574.382158053482</v>
      </c>
      <c r="CI18" s="95">
        <f t="shared" si="22"/>
        <v>57.700166160053527</v>
      </c>
      <c r="CJ18" s="96">
        <f t="shared" si="23"/>
        <v>0</v>
      </c>
      <c r="CK18" s="87">
        <v>221.06</v>
      </c>
      <c r="CL18" s="88"/>
      <c r="CM18" s="88"/>
      <c r="CN18" s="89"/>
      <c r="CO18" s="62">
        <f t="shared" si="37"/>
        <v>19519.826158053482</v>
      </c>
      <c r="CP18" s="63">
        <f t="shared" si="24"/>
        <v>69.010166160053529</v>
      </c>
      <c r="CQ18" s="64">
        <f t="shared" si="38"/>
        <v>0</v>
      </c>
    </row>
    <row r="19" spans="1:95" ht="14.5" x14ac:dyDescent="0.35">
      <c r="A19" s="61" t="s">
        <v>384</v>
      </c>
      <c r="B19" s="87">
        <v>1580.29</v>
      </c>
      <c r="C19" s="88">
        <v>33.299999999999997</v>
      </c>
      <c r="D19" s="89">
        <v>0</v>
      </c>
      <c r="E19" s="87">
        <v>1580.2900000000002</v>
      </c>
      <c r="F19" s="88">
        <v>33.300000000000011</v>
      </c>
      <c r="G19" s="89">
        <v>0</v>
      </c>
      <c r="H19" s="87">
        <v>0</v>
      </c>
      <c r="I19" s="88">
        <v>0</v>
      </c>
      <c r="J19" s="89">
        <v>0</v>
      </c>
      <c r="K19" s="87">
        <v>0</v>
      </c>
      <c r="L19" s="88">
        <v>0</v>
      </c>
      <c r="M19" s="89">
        <v>0</v>
      </c>
      <c r="N19" s="87">
        <v>-21.75</v>
      </c>
      <c r="O19" s="88">
        <v>18.559999999999999</v>
      </c>
      <c r="P19" s="89">
        <v>0</v>
      </c>
      <c r="Q19" s="62">
        <f t="shared" si="25"/>
        <v>1558.5400000000002</v>
      </c>
      <c r="R19" s="63">
        <f t="shared" si="0"/>
        <v>51.860000000000014</v>
      </c>
      <c r="S19" s="64">
        <f t="shared" si="0"/>
        <v>0</v>
      </c>
      <c r="T19" s="62">
        <f t="shared" si="26"/>
        <v>1558.5400000000002</v>
      </c>
      <c r="U19" s="63">
        <f t="shared" si="1"/>
        <v>51.860000000000014</v>
      </c>
      <c r="V19" s="64">
        <f t="shared" si="1"/>
        <v>0</v>
      </c>
      <c r="W19" s="62">
        <f t="shared" si="27"/>
        <v>0</v>
      </c>
      <c r="X19" s="63">
        <f t="shared" si="2"/>
        <v>0</v>
      </c>
      <c r="Y19" s="64">
        <f t="shared" si="2"/>
        <v>0</v>
      </c>
      <c r="Z19" s="103">
        <v>0</v>
      </c>
      <c r="AA19" s="103">
        <v>0</v>
      </c>
      <c r="AB19" s="103">
        <v>0</v>
      </c>
      <c r="AC19" s="104">
        <v>-21.75</v>
      </c>
      <c r="AD19" s="104">
        <v>18.559999999999999</v>
      </c>
      <c r="AE19" s="104">
        <v>0</v>
      </c>
      <c r="AF19" s="62">
        <f t="shared" si="28"/>
        <v>1536.7900000000002</v>
      </c>
      <c r="AG19" s="63">
        <f t="shared" si="3"/>
        <v>70.420000000000016</v>
      </c>
      <c r="AH19" s="64">
        <f t="shared" si="3"/>
        <v>0</v>
      </c>
      <c r="AI19" s="94">
        <f t="shared" si="29"/>
        <v>1558.54</v>
      </c>
      <c r="AJ19" s="95">
        <f t="shared" si="4"/>
        <v>51.860000000000014</v>
      </c>
      <c r="AK19" s="96">
        <f t="shared" si="4"/>
        <v>0</v>
      </c>
      <c r="AL19" s="97">
        <v>116.74</v>
      </c>
      <c r="AM19" s="98"/>
      <c r="AN19" s="98">
        <v>273.92</v>
      </c>
      <c r="AO19" s="99">
        <v>0</v>
      </c>
      <c r="AP19" s="62">
        <f t="shared" si="30"/>
        <v>1167.8799999999999</v>
      </c>
      <c r="AQ19" s="63">
        <f t="shared" si="30"/>
        <v>51.860000000000014</v>
      </c>
      <c r="AR19" s="63">
        <f t="shared" si="31"/>
        <v>0</v>
      </c>
      <c r="AS19" s="64">
        <f t="shared" si="5"/>
        <v>0</v>
      </c>
      <c r="AT19" s="62">
        <f t="shared" si="6"/>
        <v>1536.7900000000002</v>
      </c>
      <c r="AU19" s="62">
        <f t="shared" si="7"/>
        <v>70.420000000000016</v>
      </c>
      <c r="AV19" s="100">
        <f t="shared" si="8"/>
        <v>0</v>
      </c>
      <c r="AW19" s="62">
        <f t="shared" si="9"/>
        <v>0</v>
      </c>
      <c r="AX19" s="63">
        <f t="shared" si="10"/>
        <v>0</v>
      </c>
      <c r="AY19" s="64">
        <f t="shared" si="11"/>
        <v>0</v>
      </c>
      <c r="AZ19" s="62">
        <f t="shared" si="40"/>
        <v>0</v>
      </c>
      <c r="BA19" s="63">
        <f t="shared" si="41"/>
        <v>0</v>
      </c>
      <c r="BB19" s="64">
        <f t="shared" si="42"/>
        <v>0</v>
      </c>
      <c r="BC19" s="87">
        <v>-21.75</v>
      </c>
      <c r="BD19" s="88">
        <v>18.559999999999999</v>
      </c>
      <c r="BE19" s="89">
        <v>0</v>
      </c>
      <c r="BF19" s="62">
        <f t="shared" si="32"/>
        <v>1515.0400000000002</v>
      </c>
      <c r="BG19" s="63">
        <f t="shared" si="12"/>
        <v>88.980000000000018</v>
      </c>
      <c r="BH19" s="64">
        <f t="shared" si="12"/>
        <v>0</v>
      </c>
      <c r="BI19" s="94">
        <f t="shared" si="13"/>
        <v>1536.7900000000002</v>
      </c>
      <c r="BJ19" s="95">
        <f t="shared" si="14"/>
        <v>70.420000000000016</v>
      </c>
      <c r="BK19" s="96">
        <f t="shared" si="15"/>
        <v>0</v>
      </c>
      <c r="BL19" s="87">
        <v>116.74</v>
      </c>
      <c r="BM19" s="88"/>
      <c r="BN19" s="88">
        <v>273.92</v>
      </c>
      <c r="BO19" s="89">
        <v>0</v>
      </c>
      <c r="BP19" s="62">
        <f t="shared" si="33"/>
        <v>1146.1300000000001</v>
      </c>
      <c r="BQ19" s="63">
        <f t="shared" si="16"/>
        <v>70.420000000000016</v>
      </c>
      <c r="BR19" s="64">
        <f t="shared" si="34"/>
        <v>0</v>
      </c>
      <c r="BS19" s="62">
        <f t="shared" si="17"/>
        <v>1515.0400000000002</v>
      </c>
      <c r="BT19" s="62">
        <f t="shared" si="17"/>
        <v>88.980000000000018</v>
      </c>
      <c r="BU19" s="100">
        <f t="shared" si="17"/>
        <v>0</v>
      </c>
      <c r="BV19" s="62">
        <f t="shared" si="35"/>
        <v>0</v>
      </c>
      <c r="BW19" s="63">
        <f t="shared" si="18"/>
        <v>0</v>
      </c>
      <c r="BX19" s="64">
        <f t="shared" si="18"/>
        <v>0</v>
      </c>
      <c r="BY19" s="62">
        <f t="shared" si="18"/>
        <v>0</v>
      </c>
      <c r="BZ19" s="62">
        <f t="shared" si="19"/>
        <v>0</v>
      </c>
      <c r="CA19" s="100">
        <f t="shared" si="19"/>
        <v>0</v>
      </c>
      <c r="CB19" s="62">
        <f t="shared" si="19"/>
        <v>-21.75</v>
      </c>
      <c r="CC19" s="62">
        <f t="shared" si="19"/>
        <v>18.559999999999999</v>
      </c>
      <c r="CD19" s="100">
        <f t="shared" si="19"/>
        <v>0</v>
      </c>
      <c r="CE19" s="62">
        <f t="shared" si="36"/>
        <v>1493.2900000000002</v>
      </c>
      <c r="CF19" s="63">
        <f t="shared" si="20"/>
        <v>107.54000000000002</v>
      </c>
      <c r="CG19" s="64">
        <f t="shared" si="20"/>
        <v>0</v>
      </c>
      <c r="CH19" s="94">
        <f t="shared" si="21"/>
        <v>1529.54</v>
      </c>
      <c r="CI19" s="95">
        <f t="shared" si="22"/>
        <v>76.606666666666683</v>
      </c>
      <c r="CJ19" s="96">
        <f t="shared" si="23"/>
        <v>0</v>
      </c>
      <c r="CK19" s="87">
        <v>116.74</v>
      </c>
      <c r="CL19" s="88"/>
      <c r="CM19" s="88">
        <v>273.92</v>
      </c>
      <c r="CN19" s="89">
        <v>0</v>
      </c>
      <c r="CO19" s="62">
        <f t="shared" si="37"/>
        <v>1138.8799999999999</v>
      </c>
      <c r="CP19" s="63">
        <f t="shared" si="24"/>
        <v>76.606666666666683</v>
      </c>
      <c r="CQ19" s="64">
        <f t="shared" si="38"/>
        <v>0</v>
      </c>
    </row>
    <row r="20" spans="1:95" ht="14.5" x14ac:dyDescent="0.35">
      <c r="A20" s="61" t="s">
        <v>385</v>
      </c>
      <c r="B20" s="87">
        <v>25518.78</v>
      </c>
      <c r="C20" s="88">
        <v>264.29000000000002</v>
      </c>
      <c r="D20" s="89">
        <v>184.45</v>
      </c>
      <c r="E20" s="87">
        <v>25518.78</v>
      </c>
      <c r="F20" s="88">
        <v>264.28999999999996</v>
      </c>
      <c r="G20" s="89">
        <v>184.45000000000002</v>
      </c>
      <c r="H20" s="87">
        <v>0</v>
      </c>
      <c r="I20" s="88">
        <v>0</v>
      </c>
      <c r="J20" s="89">
        <v>0</v>
      </c>
      <c r="K20" s="87">
        <v>0</v>
      </c>
      <c r="L20" s="88">
        <v>0</v>
      </c>
      <c r="M20" s="89">
        <v>0</v>
      </c>
      <c r="N20" s="87">
        <v>-943.23</v>
      </c>
      <c r="O20" s="88">
        <v>69.05</v>
      </c>
      <c r="P20" s="89">
        <v>14.55</v>
      </c>
      <c r="Q20" s="62">
        <f t="shared" si="25"/>
        <v>24575.55</v>
      </c>
      <c r="R20" s="63">
        <f t="shared" si="0"/>
        <v>333.34</v>
      </c>
      <c r="S20" s="64">
        <f t="shared" si="0"/>
        <v>199.00000000000003</v>
      </c>
      <c r="T20" s="62">
        <f t="shared" si="26"/>
        <v>24575.55</v>
      </c>
      <c r="U20" s="63">
        <f t="shared" si="1"/>
        <v>333.34</v>
      </c>
      <c r="V20" s="64">
        <f t="shared" si="1"/>
        <v>199.00000000000003</v>
      </c>
      <c r="W20" s="62">
        <f t="shared" si="27"/>
        <v>0</v>
      </c>
      <c r="X20" s="63">
        <f t="shared" si="2"/>
        <v>0</v>
      </c>
      <c r="Y20" s="64">
        <f t="shared" si="2"/>
        <v>0</v>
      </c>
      <c r="Z20" s="103">
        <v>0</v>
      </c>
      <c r="AA20" s="103">
        <v>0</v>
      </c>
      <c r="AB20" s="103">
        <v>0</v>
      </c>
      <c r="AC20" s="109">
        <v>-188.64600000000002</v>
      </c>
      <c r="AD20" s="109">
        <v>13.81</v>
      </c>
      <c r="AE20" s="109">
        <v>2.91</v>
      </c>
      <c r="AF20" s="62">
        <f t="shared" si="28"/>
        <v>24386.903999999999</v>
      </c>
      <c r="AG20" s="63">
        <f t="shared" si="3"/>
        <v>347.15</v>
      </c>
      <c r="AH20" s="64">
        <f t="shared" si="3"/>
        <v>201.91000000000003</v>
      </c>
      <c r="AI20" s="94">
        <f t="shared" si="29"/>
        <v>24827.077999999998</v>
      </c>
      <c r="AJ20" s="95">
        <f t="shared" si="4"/>
        <v>314.92666666666668</v>
      </c>
      <c r="AK20" s="96">
        <f t="shared" si="4"/>
        <v>195.12000000000003</v>
      </c>
      <c r="AL20" s="97">
        <v>693.85</v>
      </c>
      <c r="AM20" s="98"/>
      <c r="AN20" s="98"/>
      <c r="AO20" s="99"/>
      <c r="AP20" s="62">
        <f t="shared" si="30"/>
        <v>24133.227999999999</v>
      </c>
      <c r="AQ20" s="63">
        <f t="shared" si="30"/>
        <v>314.92666666666668</v>
      </c>
      <c r="AR20" s="63">
        <f t="shared" si="31"/>
        <v>195.12000000000003</v>
      </c>
      <c r="AS20" s="64">
        <f t="shared" si="5"/>
        <v>201.91000000000003</v>
      </c>
      <c r="AT20" s="62">
        <f t="shared" si="6"/>
        <v>24386.903999999999</v>
      </c>
      <c r="AU20" s="62">
        <f t="shared" si="7"/>
        <v>347.15</v>
      </c>
      <c r="AV20" s="100">
        <f t="shared" si="8"/>
        <v>201.91000000000003</v>
      </c>
      <c r="AW20" s="62">
        <f t="shared" si="9"/>
        <v>0</v>
      </c>
      <c r="AX20" s="63">
        <f t="shared" si="10"/>
        <v>0</v>
      </c>
      <c r="AY20" s="64">
        <f t="shared" si="11"/>
        <v>0</v>
      </c>
      <c r="AZ20" s="62">
        <f t="shared" si="40"/>
        <v>0</v>
      </c>
      <c r="BA20" s="63">
        <f t="shared" si="41"/>
        <v>0</v>
      </c>
      <c r="BB20" s="64">
        <f t="shared" si="42"/>
        <v>0</v>
      </c>
      <c r="BC20" s="87">
        <v>-188.64600000000002</v>
      </c>
      <c r="BD20" s="88">
        <v>13.81</v>
      </c>
      <c r="BE20" s="89">
        <v>2.91</v>
      </c>
      <c r="BF20" s="62">
        <f t="shared" si="32"/>
        <v>24198.257999999998</v>
      </c>
      <c r="BG20" s="63">
        <f t="shared" si="12"/>
        <v>360.96</v>
      </c>
      <c r="BH20" s="64">
        <f t="shared" si="12"/>
        <v>204.82000000000002</v>
      </c>
      <c r="BI20" s="94">
        <f t="shared" si="13"/>
        <v>24386.903999999999</v>
      </c>
      <c r="BJ20" s="95">
        <f t="shared" si="14"/>
        <v>347.15000000000003</v>
      </c>
      <c r="BK20" s="96">
        <f t="shared" si="15"/>
        <v>201.91000000000005</v>
      </c>
      <c r="BL20" s="87">
        <v>693.85</v>
      </c>
      <c r="BM20" s="88"/>
      <c r="BN20" s="88"/>
      <c r="BO20" s="89"/>
      <c r="BP20" s="62">
        <f t="shared" si="33"/>
        <v>23693.054</v>
      </c>
      <c r="BQ20" s="63">
        <f t="shared" si="16"/>
        <v>347.15000000000003</v>
      </c>
      <c r="BR20" s="64">
        <f t="shared" si="34"/>
        <v>201.91000000000005</v>
      </c>
      <c r="BS20" s="62">
        <f t="shared" si="17"/>
        <v>24198.257999999998</v>
      </c>
      <c r="BT20" s="62">
        <f t="shared" si="17"/>
        <v>360.96</v>
      </c>
      <c r="BU20" s="100">
        <f t="shared" si="17"/>
        <v>204.82000000000002</v>
      </c>
      <c r="BV20" s="62">
        <f t="shared" si="35"/>
        <v>0</v>
      </c>
      <c r="BW20" s="63">
        <f t="shared" si="35"/>
        <v>0</v>
      </c>
      <c r="BX20" s="64">
        <f t="shared" si="35"/>
        <v>0</v>
      </c>
      <c r="BY20" s="62">
        <f t="shared" si="35"/>
        <v>0</v>
      </c>
      <c r="BZ20" s="62">
        <f t="shared" si="19"/>
        <v>0</v>
      </c>
      <c r="CA20" s="100">
        <f t="shared" si="19"/>
        <v>0</v>
      </c>
      <c r="CB20" s="62">
        <f t="shared" si="19"/>
        <v>-188.64600000000002</v>
      </c>
      <c r="CC20" s="62">
        <f t="shared" si="19"/>
        <v>13.81</v>
      </c>
      <c r="CD20" s="100">
        <f t="shared" si="19"/>
        <v>2.91</v>
      </c>
      <c r="CE20" s="62">
        <f t="shared" si="36"/>
        <v>24009.611999999997</v>
      </c>
      <c r="CF20" s="63">
        <f t="shared" si="20"/>
        <v>374.77</v>
      </c>
      <c r="CG20" s="64">
        <f t="shared" si="20"/>
        <v>207.73000000000002</v>
      </c>
      <c r="CH20" s="94">
        <f t="shared" si="21"/>
        <v>24407.864666666665</v>
      </c>
      <c r="CI20" s="95">
        <f t="shared" si="22"/>
        <v>345.6155555555556</v>
      </c>
      <c r="CJ20" s="96">
        <f t="shared" si="23"/>
        <v>201.5866666666667</v>
      </c>
      <c r="CK20" s="87">
        <v>693.85</v>
      </c>
      <c r="CL20" s="88"/>
      <c r="CM20" s="88"/>
      <c r="CN20" s="89"/>
      <c r="CO20" s="62">
        <f t="shared" si="37"/>
        <v>23714.014666666666</v>
      </c>
      <c r="CP20" s="63">
        <f t="shared" si="24"/>
        <v>345.6155555555556</v>
      </c>
      <c r="CQ20" s="64">
        <f t="shared" si="38"/>
        <v>201.5866666666667</v>
      </c>
    </row>
    <row r="21" spans="1:95" ht="14.5" x14ac:dyDescent="0.35">
      <c r="A21" s="61" t="s">
        <v>386</v>
      </c>
      <c r="B21" s="87">
        <v>4792.74</v>
      </c>
      <c r="C21" s="88">
        <v>464.59</v>
      </c>
      <c r="D21" s="89">
        <v>114.54</v>
      </c>
      <c r="E21" s="87">
        <v>4792.7399690000011</v>
      </c>
      <c r="F21" s="88">
        <v>464.58999999999992</v>
      </c>
      <c r="G21" s="89">
        <v>114.54</v>
      </c>
      <c r="H21" s="87">
        <v>6.24</v>
      </c>
      <c r="I21" s="88">
        <v>24.62</v>
      </c>
      <c r="J21" s="89">
        <v>-0.59</v>
      </c>
      <c r="K21" s="87">
        <v>0</v>
      </c>
      <c r="L21" s="88">
        <v>0</v>
      </c>
      <c r="M21" s="89">
        <v>0</v>
      </c>
      <c r="N21" s="87">
        <v>0</v>
      </c>
      <c r="O21" s="88">
        <v>0</v>
      </c>
      <c r="P21" s="89">
        <v>0</v>
      </c>
      <c r="Q21" s="62">
        <f t="shared" si="25"/>
        <v>4798.9799690000009</v>
      </c>
      <c r="R21" s="63">
        <f t="shared" si="0"/>
        <v>489.20999999999992</v>
      </c>
      <c r="S21" s="64">
        <f t="shared" si="0"/>
        <v>113.95</v>
      </c>
      <c r="T21" s="62">
        <f t="shared" si="26"/>
        <v>4798.9799690000009</v>
      </c>
      <c r="U21" s="63">
        <f t="shared" si="1"/>
        <v>489.20999999999992</v>
      </c>
      <c r="V21" s="64">
        <f t="shared" si="1"/>
        <v>113.95</v>
      </c>
      <c r="W21" s="62">
        <f t="shared" si="27"/>
        <v>6.24</v>
      </c>
      <c r="X21" s="63">
        <f t="shared" si="2"/>
        <v>24.62</v>
      </c>
      <c r="Y21" s="64">
        <f t="shared" si="2"/>
        <v>-0.59</v>
      </c>
      <c r="Z21" s="103">
        <v>0</v>
      </c>
      <c r="AA21" s="103">
        <v>0</v>
      </c>
      <c r="AB21" s="103">
        <v>0</v>
      </c>
      <c r="AC21" s="92">
        <v>0</v>
      </c>
      <c r="AD21" s="92">
        <v>0</v>
      </c>
      <c r="AE21" s="92">
        <v>0</v>
      </c>
      <c r="AF21" s="62">
        <f t="shared" si="28"/>
        <v>4805.2199690000007</v>
      </c>
      <c r="AG21" s="63">
        <f t="shared" si="3"/>
        <v>513.82999999999993</v>
      </c>
      <c r="AH21" s="64">
        <f t="shared" si="3"/>
        <v>113.36</v>
      </c>
      <c r="AI21" s="94">
        <f t="shared" si="29"/>
        <v>4796.8999793333342</v>
      </c>
      <c r="AJ21" s="95">
        <f t="shared" si="4"/>
        <v>481.00333333333333</v>
      </c>
      <c r="AK21" s="96">
        <f t="shared" si="4"/>
        <v>114.14666666666666</v>
      </c>
      <c r="AL21" s="97">
        <v>189.75</v>
      </c>
      <c r="AM21" s="98"/>
      <c r="AN21" s="98">
        <v>0.54</v>
      </c>
      <c r="AO21" s="99">
        <v>4.3499999999999996</v>
      </c>
      <c r="AP21" s="62">
        <f t="shared" si="30"/>
        <v>4612.849979333334</v>
      </c>
      <c r="AQ21" s="63">
        <f t="shared" si="30"/>
        <v>501.27333333333331</v>
      </c>
      <c r="AR21" s="63">
        <f t="shared" si="31"/>
        <v>113.55666666666666</v>
      </c>
      <c r="AS21" s="64">
        <f t="shared" si="5"/>
        <v>113.36</v>
      </c>
      <c r="AT21" s="62">
        <f t="shared" si="6"/>
        <v>4805.2199690000007</v>
      </c>
      <c r="AU21" s="62">
        <f t="shared" si="7"/>
        <v>513.82999999999993</v>
      </c>
      <c r="AV21" s="100">
        <f t="shared" si="8"/>
        <v>113.36</v>
      </c>
      <c r="AW21" s="62">
        <f t="shared" si="9"/>
        <v>6.24</v>
      </c>
      <c r="AX21" s="63">
        <f t="shared" si="10"/>
        <v>24.62</v>
      </c>
      <c r="AY21" s="64">
        <f t="shared" si="11"/>
        <v>-0.59</v>
      </c>
      <c r="AZ21" s="62">
        <f t="shared" si="40"/>
        <v>0</v>
      </c>
      <c r="BA21" s="63">
        <f t="shared" si="41"/>
        <v>0</v>
      </c>
      <c r="BB21" s="64">
        <f t="shared" si="42"/>
        <v>0</v>
      </c>
      <c r="BC21" s="87">
        <v>0</v>
      </c>
      <c r="BD21" s="88">
        <v>0</v>
      </c>
      <c r="BE21" s="89">
        <v>0</v>
      </c>
      <c r="BF21" s="62">
        <f t="shared" si="32"/>
        <v>4811.4599690000005</v>
      </c>
      <c r="BG21" s="63">
        <f t="shared" si="12"/>
        <v>538.44999999999993</v>
      </c>
      <c r="BH21" s="64">
        <f t="shared" si="12"/>
        <v>112.77</v>
      </c>
      <c r="BI21" s="94">
        <f t="shared" si="13"/>
        <v>4803.1399690000007</v>
      </c>
      <c r="BJ21" s="95">
        <f t="shared" si="14"/>
        <v>505.62333333333328</v>
      </c>
      <c r="BK21" s="96">
        <f t="shared" si="15"/>
        <v>113.55666666666666</v>
      </c>
      <c r="BL21" s="87">
        <v>189.75</v>
      </c>
      <c r="BM21" s="88"/>
      <c r="BN21" s="88">
        <v>0.54</v>
      </c>
      <c r="BO21" s="89">
        <v>4.3499999999999996</v>
      </c>
      <c r="BP21" s="62">
        <f t="shared" si="33"/>
        <v>4619.0899690000006</v>
      </c>
      <c r="BQ21" s="63">
        <f t="shared" si="16"/>
        <v>525.8933333333332</v>
      </c>
      <c r="BR21" s="64">
        <f t="shared" si="34"/>
        <v>112.96666666666665</v>
      </c>
      <c r="BS21" s="62">
        <f t="shared" si="17"/>
        <v>4811.4599690000005</v>
      </c>
      <c r="BT21" s="62">
        <f t="shared" si="17"/>
        <v>538.44999999999993</v>
      </c>
      <c r="BU21" s="100">
        <f t="shared" si="17"/>
        <v>112.77</v>
      </c>
      <c r="BV21" s="62">
        <f t="shared" si="35"/>
        <v>6.24</v>
      </c>
      <c r="BW21" s="63">
        <f t="shared" si="35"/>
        <v>24.62</v>
      </c>
      <c r="BX21" s="64">
        <f t="shared" si="35"/>
        <v>-0.59</v>
      </c>
      <c r="BY21" s="62">
        <f t="shared" si="35"/>
        <v>0</v>
      </c>
      <c r="BZ21" s="62">
        <f t="shared" si="19"/>
        <v>0</v>
      </c>
      <c r="CA21" s="100">
        <f t="shared" si="19"/>
        <v>0</v>
      </c>
      <c r="CB21" s="62">
        <f t="shared" si="19"/>
        <v>0</v>
      </c>
      <c r="CC21" s="62">
        <f t="shared" si="19"/>
        <v>0</v>
      </c>
      <c r="CD21" s="100">
        <f t="shared" si="19"/>
        <v>0</v>
      </c>
      <c r="CE21" s="62">
        <f t="shared" si="36"/>
        <v>4817.6999690000002</v>
      </c>
      <c r="CF21" s="63">
        <f t="shared" si="20"/>
        <v>563.06999999999994</v>
      </c>
      <c r="CG21" s="64">
        <f t="shared" si="20"/>
        <v>112.17999999999999</v>
      </c>
      <c r="CH21" s="94">
        <f t="shared" si="21"/>
        <v>4807.9933057777789</v>
      </c>
      <c r="CI21" s="95">
        <f t="shared" si="22"/>
        <v>524.77222222222224</v>
      </c>
      <c r="CJ21" s="96">
        <f t="shared" si="23"/>
        <v>113.09777777777776</v>
      </c>
      <c r="CK21" s="87">
        <v>189.75</v>
      </c>
      <c r="CL21" s="88"/>
      <c r="CM21" s="88">
        <v>0.54</v>
      </c>
      <c r="CN21" s="89">
        <v>4.3499999999999996</v>
      </c>
      <c r="CO21" s="62">
        <f t="shared" si="37"/>
        <v>4623.9433057777787</v>
      </c>
      <c r="CP21" s="63">
        <f t="shared" si="24"/>
        <v>545.04222222222222</v>
      </c>
      <c r="CQ21" s="64">
        <f t="shared" si="38"/>
        <v>112.50777777777776</v>
      </c>
    </row>
    <row r="22" spans="1:95" ht="14.5" x14ac:dyDescent="0.35">
      <c r="A22" s="61" t="s">
        <v>387</v>
      </c>
      <c r="B22" s="87">
        <v>12449.54</v>
      </c>
      <c r="C22" s="88">
        <v>243.85</v>
      </c>
      <c r="D22" s="89">
        <v>2847.21</v>
      </c>
      <c r="E22" s="87">
        <v>12449.54</v>
      </c>
      <c r="F22" s="88">
        <v>243.84999999999991</v>
      </c>
      <c r="G22" s="89">
        <v>2847.21</v>
      </c>
      <c r="H22" s="87">
        <v>0</v>
      </c>
      <c r="I22" s="88">
        <v>0</v>
      </c>
      <c r="J22" s="89">
        <v>0</v>
      </c>
      <c r="K22" s="87">
        <v>0</v>
      </c>
      <c r="L22" s="88">
        <v>0</v>
      </c>
      <c r="M22" s="89">
        <v>0</v>
      </c>
      <c r="N22" s="87">
        <v>-1048.6400000000001</v>
      </c>
      <c r="O22" s="88">
        <v>90.59</v>
      </c>
      <c r="P22" s="89">
        <v>-96.19</v>
      </c>
      <c r="Q22" s="62">
        <f t="shared" si="25"/>
        <v>11400.900000000001</v>
      </c>
      <c r="R22" s="63">
        <f t="shared" si="0"/>
        <v>334.43999999999994</v>
      </c>
      <c r="S22" s="64">
        <f t="shared" si="0"/>
        <v>2751.02</v>
      </c>
      <c r="T22" s="62">
        <f t="shared" si="26"/>
        <v>11400.900000000001</v>
      </c>
      <c r="U22" s="63">
        <f t="shared" si="1"/>
        <v>334.43999999999994</v>
      </c>
      <c r="V22" s="64">
        <f t="shared" si="1"/>
        <v>2751.02</v>
      </c>
      <c r="W22" s="62">
        <f t="shared" si="27"/>
        <v>0</v>
      </c>
      <c r="X22" s="63">
        <f t="shared" si="2"/>
        <v>0</v>
      </c>
      <c r="Y22" s="64">
        <f t="shared" si="2"/>
        <v>0</v>
      </c>
      <c r="Z22" s="90">
        <v>1009.8769400000001</v>
      </c>
      <c r="AA22" s="90">
        <v>-91.727096000000003</v>
      </c>
      <c r="AB22" s="90">
        <v>86.836532000000005</v>
      </c>
      <c r="AC22" s="92">
        <v>0</v>
      </c>
      <c r="AD22" s="92">
        <v>0</v>
      </c>
      <c r="AE22" s="92">
        <v>0</v>
      </c>
      <c r="AF22" s="62">
        <f t="shared" si="28"/>
        <v>12410.776940000002</v>
      </c>
      <c r="AG22" s="63">
        <f t="shared" si="3"/>
        <v>242.71290399999992</v>
      </c>
      <c r="AH22" s="64">
        <f t="shared" si="3"/>
        <v>2837.8565319999998</v>
      </c>
      <c r="AI22" s="94">
        <f t="shared" si="29"/>
        <v>12087.072313333336</v>
      </c>
      <c r="AJ22" s="95">
        <f t="shared" si="4"/>
        <v>273.66763466666663</v>
      </c>
      <c r="AK22" s="96">
        <f t="shared" si="4"/>
        <v>2812.0288439999999</v>
      </c>
      <c r="AL22" s="97">
        <v>230.88</v>
      </c>
      <c r="AM22" s="98"/>
      <c r="AN22" s="98"/>
      <c r="AO22" s="99"/>
      <c r="AP22" s="62">
        <f t="shared" si="30"/>
        <v>11856.192313333337</v>
      </c>
      <c r="AQ22" s="63">
        <f t="shared" si="30"/>
        <v>273.66763466666663</v>
      </c>
      <c r="AR22" s="63">
        <f t="shared" si="31"/>
        <v>2812.0288439999999</v>
      </c>
      <c r="AS22" s="64">
        <f t="shared" si="5"/>
        <v>2837.8565319999998</v>
      </c>
      <c r="AT22" s="62">
        <f t="shared" si="6"/>
        <v>12410.776940000002</v>
      </c>
      <c r="AU22" s="62">
        <f t="shared" si="7"/>
        <v>242.71290399999992</v>
      </c>
      <c r="AV22" s="100">
        <f t="shared" si="8"/>
        <v>2837.8565319999998</v>
      </c>
      <c r="AW22" s="62">
        <f t="shared" si="9"/>
        <v>0</v>
      </c>
      <c r="AX22" s="63">
        <f t="shared" si="10"/>
        <v>0</v>
      </c>
      <c r="AY22" s="64">
        <f t="shared" si="11"/>
        <v>0</v>
      </c>
      <c r="AZ22" s="110">
        <f>+AC22</f>
        <v>0</v>
      </c>
      <c r="BA22" s="111">
        <f>+AD22</f>
        <v>0</v>
      </c>
      <c r="BB22" s="112">
        <f>+AE22</f>
        <v>0</v>
      </c>
      <c r="BC22" s="87">
        <v>-42.196641595999999</v>
      </c>
      <c r="BD22" s="88">
        <v>-0.82522387359999994</v>
      </c>
      <c r="BE22" s="89">
        <v>-9.6487122087999992</v>
      </c>
      <c r="BF22" s="62">
        <f t="shared" si="32"/>
        <v>12368.580298404002</v>
      </c>
      <c r="BG22" s="63">
        <f t="shared" si="12"/>
        <v>241.88768012639991</v>
      </c>
      <c r="BH22" s="64">
        <f t="shared" si="12"/>
        <v>2828.2078197911997</v>
      </c>
      <c r="BI22" s="94">
        <f t="shared" si="13"/>
        <v>12060.08574613467</v>
      </c>
      <c r="BJ22" s="95">
        <f t="shared" si="14"/>
        <v>273.01352804213326</v>
      </c>
      <c r="BK22" s="96">
        <f t="shared" si="15"/>
        <v>2805.6947839303998</v>
      </c>
      <c r="BL22" s="87">
        <v>230.88</v>
      </c>
      <c r="BM22" s="88"/>
      <c r="BN22" s="88"/>
      <c r="BO22" s="89"/>
      <c r="BP22" s="62">
        <f t="shared" si="33"/>
        <v>11829.20574613467</v>
      </c>
      <c r="BQ22" s="63">
        <f t="shared" si="16"/>
        <v>273.01352804213326</v>
      </c>
      <c r="BR22" s="64">
        <f t="shared" si="34"/>
        <v>2805.6947839303998</v>
      </c>
      <c r="BS22" s="62">
        <f t="shared" si="17"/>
        <v>12368.580298404002</v>
      </c>
      <c r="BT22" s="62">
        <f t="shared" si="17"/>
        <v>241.88768012639991</v>
      </c>
      <c r="BU22" s="100">
        <f t="shared" si="17"/>
        <v>2828.2078197911997</v>
      </c>
      <c r="BV22" s="62">
        <f t="shared" si="35"/>
        <v>0</v>
      </c>
      <c r="BW22" s="63">
        <f t="shared" si="35"/>
        <v>0</v>
      </c>
      <c r="BX22" s="64">
        <f t="shared" si="35"/>
        <v>0</v>
      </c>
      <c r="BY22" s="62">
        <f t="shared" si="35"/>
        <v>0</v>
      </c>
      <c r="BZ22" s="62">
        <f t="shared" si="19"/>
        <v>0</v>
      </c>
      <c r="CA22" s="100">
        <f t="shared" si="19"/>
        <v>0</v>
      </c>
      <c r="CB22" s="101">
        <f>-(BS22*0.0034)</f>
        <v>-42.053173014573602</v>
      </c>
      <c r="CC22" s="101">
        <f>-(BT22*0.0034)</f>
        <v>-0.82241811242975971</v>
      </c>
      <c r="CD22" s="102">
        <f>-(BU22*0.0034)</f>
        <v>-9.6159065872900786</v>
      </c>
      <c r="CE22" s="62">
        <f t="shared" si="36"/>
        <v>12326.527125389428</v>
      </c>
      <c r="CF22" s="63">
        <f t="shared" si="20"/>
        <v>241.06526201397014</v>
      </c>
      <c r="CG22" s="64">
        <f t="shared" si="20"/>
        <v>2818.5919132039094</v>
      </c>
      <c r="CH22" s="94">
        <f t="shared" si="21"/>
        <v>12157.895061619143</v>
      </c>
      <c r="CI22" s="95">
        <f t="shared" si="22"/>
        <v>262.5821415742567</v>
      </c>
      <c r="CJ22" s="96">
        <f t="shared" si="23"/>
        <v>2812.1051803781029</v>
      </c>
      <c r="CK22" s="87">
        <v>230.88</v>
      </c>
      <c r="CL22" s="88"/>
      <c r="CM22" s="88"/>
      <c r="CN22" s="89"/>
      <c r="CO22" s="62">
        <f t="shared" si="37"/>
        <v>11927.015061619144</v>
      </c>
      <c r="CP22" s="63">
        <f t="shared" si="24"/>
        <v>262.5821415742567</v>
      </c>
      <c r="CQ22" s="64">
        <f t="shared" si="38"/>
        <v>2812.1051803781029</v>
      </c>
    </row>
    <row r="23" spans="1:95" ht="14.5" x14ac:dyDescent="0.35">
      <c r="A23" s="61" t="s">
        <v>388</v>
      </c>
      <c r="B23" s="87">
        <v>19064.97</v>
      </c>
      <c r="C23" s="88">
        <v>20.18</v>
      </c>
      <c r="D23" s="89">
        <v>0</v>
      </c>
      <c r="E23" s="87">
        <v>19064.970071000003</v>
      </c>
      <c r="F23" s="88">
        <v>20.18</v>
      </c>
      <c r="G23" s="89">
        <v>0</v>
      </c>
      <c r="H23" s="87">
        <v>0</v>
      </c>
      <c r="I23" s="88">
        <v>0</v>
      </c>
      <c r="J23" s="89">
        <v>0</v>
      </c>
      <c r="K23" s="87">
        <v>0</v>
      </c>
      <c r="L23" s="88">
        <v>0</v>
      </c>
      <c r="M23" s="89">
        <v>0</v>
      </c>
      <c r="N23" s="87">
        <v>-398.52</v>
      </c>
      <c r="O23" s="88">
        <v>-4.37</v>
      </c>
      <c r="P23" s="89">
        <v>0</v>
      </c>
      <c r="Q23" s="62">
        <f t="shared" si="25"/>
        <v>18666.450071000003</v>
      </c>
      <c r="R23" s="63">
        <f t="shared" si="0"/>
        <v>15.809999999999999</v>
      </c>
      <c r="S23" s="64">
        <f t="shared" si="0"/>
        <v>0</v>
      </c>
      <c r="T23" s="62">
        <f t="shared" si="26"/>
        <v>18666.450071000003</v>
      </c>
      <c r="U23" s="63">
        <f t="shared" si="1"/>
        <v>15.809999999999999</v>
      </c>
      <c r="V23" s="64">
        <f t="shared" si="1"/>
        <v>0</v>
      </c>
      <c r="W23" s="62">
        <f t="shared" si="27"/>
        <v>0</v>
      </c>
      <c r="X23" s="63">
        <f t="shared" si="2"/>
        <v>0</v>
      </c>
      <c r="Y23" s="64">
        <f t="shared" si="2"/>
        <v>0</v>
      </c>
      <c r="Z23" s="103">
        <v>0</v>
      </c>
      <c r="AA23" s="103">
        <v>0</v>
      </c>
      <c r="AB23" s="103">
        <v>0</v>
      </c>
      <c r="AC23" s="104">
        <v>-398.52</v>
      </c>
      <c r="AD23" s="104">
        <v>-4.37</v>
      </c>
      <c r="AE23" s="104">
        <v>0</v>
      </c>
      <c r="AF23" s="62">
        <f t="shared" si="28"/>
        <v>18267.930071000002</v>
      </c>
      <c r="AG23" s="63">
        <f t="shared" si="3"/>
        <v>11.439999999999998</v>
      </c>
      <c r="AH23" s="64">
        <f t="shared" si="3"/>
        <v>0</v>
      </c>
      <c r="AI23" s="94">
        <f t="shared" si="29"/>
        <v>18666.450047333336</v>
      </c>
      <c r="AJ23" s="95">
        <f t="shared" si="4"/>
        <v>15.809999999999997</v>
      </c>
      <c r="AK23" s="96">
        <f t="shared" si="4"/>
        <v>0</v>
      </c>
      <c r="AL23" s="97">
        <v>317.76</v>
      </c>
      <c r="AM23" s="98"/>
      <c r="AN23" s="98"/>
      <c r="AO23" s="99"/>
      <c r="AP23" s="62">
        <f t="shared" si="30"/>
        <v>18348.690047333337</v>
      </c>
      <c r="AQ23" s="63">
        <f t="shared" si="30"/>
        <v>15.809999999999997</v>
      </c>
      <c r="AR23" s="63">
        <f t="shared" si="31"/>
        <v>0</v>
      </c>
      <c r="AS23" s="64">
        <f t="shared" si="5"/>
        <v>0</v>
      </c>
      <c r="AT23" s="62">
        <f t="shared" si="6"/>
        <v>18267.930071000002</v>
      </c>
      <c r="AU23" s="62">
        <f t="shared" si="7"/>
        <v>11.439999999999998</v>
      </c>
      <c r="AV23" s="100">
        <f t="shared" si="8"/>
        <v>0</v>
      </c>
      <c r="AW23" s="62">
        <f t="shared" si="9"/>
        <v>0</v>
      </c>
      <c r="AX23" s="63">
        <f t="shared" si="10"/>
        <v>0</v>
      </c>
      <c r="AY23" s="64">
        <f t="shared" si="11"/>
        <v>0</v>
      </c>
      <c r="AZ23" s="87">
        <v>0</v>
      </c>
      <c r="BA23" s="88">
        <v>0</v>
      </c>
      <c r="BB23" s="89">
        <v>0</v>
      </c>
      <c r="BC23" s="87">
        <v>-398.52</v>
      </c>
      <c r="BD23" s="88">
        <v>-4.37</v>
      </c>
      <c r="BE23" s="89">
        <v>0</v>
      </c>
      <c r="BF23" s="62">
        <f t="shared" si="32"/>
        <v>17869.410071000002</v>
      </c>
      <c r="BG23" s="63">
        <f t="shared" si="12"/>
        <v>7.0699999999999976</v>
      </c>
      <c r="BH23" s="64">
        <f t="shared" si="12"/>
        <v>0</v>
      </c>
      <c r="BI23" s="94">
        <f t="shared" si="13"/>
        <v>18267.930071000006</v>
      </c>
      <c r="BJ23" s="95">
        <f t="shared" si="14"/>
        <v>11.439999999999998</v>
      </c>
      <c r="BK23" s="96">
        <f t="shared" si="15"/>
        <v>0</v>
      </c>
      <c r="BL23" s="87">
        <v>317.76</v>
      </c>
      <c r="BM23" s="88"/>
      <c r="BN23" s="88"/>
      <c r="BO23" s="89"/>
      <c r="BP23" s="62">
        <f t="shared" si="33"/>
        <v>17950.170071000008</v>
      </c>
      <c r="BQ23" s="63">
        <f t="shared" si="16"/>
        <v>11.439999999999998</v>
      </c>
      <c r="BR23" s="64">
        <f t="shared" si="34"/>
        <v>0</v>
      </c>
      <c r="BS23" s="62">
        <f t="shared" si="17"/>
        <v>17869.410071000002</v>
      </c>
      <c r="BT23" s="62">
        <f t="shared" si="17"/>
        <v>7.0699999999999976</v>
      </c>
      <c r="BU23" s="100">
        <f t="shared" si="17"/>
        <v>0</v>
      </c>
      <c r="BV23" s="62">
        <f t="shared" si="35"/>
        <v>0</v>
      </c>
      <c r="BW23" s="63">
        <f t="shared" si="35"/>
        <v>0</v>
      </c>
      <c r="BX23" s="64">
        <f t="shared" si="35"/>
        <v>0</v>
      </c>
      <c r="BY23" s="62">
        <f t="shared" si="35"/>
        <v>0</v>
      </c>
      <c r="BZ23" s="62">
        <f t="shared" si="19"/>
        <v>0</v>
      </c>
      <c r="CA23" s="100">
        <f t="shared" si="19"/>
        <v>0</v>
      </c>
      <c r="CB23" s="62">
        <f t="shared" si="19"/>
        <v>-398.52</v>
      </c>
      <c r="CC23" s="62">
        <f t="shared" si="19"/>
        <v>-4.37</v>
      </c>
      <c r="CD23" s="100">
        <f t="shared" si="19"/>
        <v>0</v>
      </c>
      <c r="CE23" s="62">
        <f t="shared" si="36"/>
        <v>17470.890071000002</v>
      </c>
      <c r="CF23" s="63">
        <f t="shared" si="20"/>
        <v>2.6999999999999975</v>
      </c>
      <c r="CG23" s="64">
        <f t="shared" si="20"/>
        <v>0</v>
      </c>
      <c r="CH23" s="94">
        <f t="shared" si="21"/>
        <v>18135.090063111114</v>
      </c>
      <c r="CI23" s="95">
        <f t="shared" si="22"/>
        <v>9.983333333333329</v>
      </c>
      <c r="CJ23" s="96">
        <f t="shared" si="23"/>
        <v>0</v>
      </c>
      <c r="CK23" s="87">
        <v>317.76</v>
      </c>
      <c r="CL23" s="88"/>
      <c r="CM23" s="88"/>
      <c r="CN23" s="89"/>
      <c r="CO23" s="62">
        <f t="shared" si="37"/>
        <v>17817.330063111116</v>
      </c>
      <c r="CP23" s="63">
        <f t="shared" si="24"/>
        <v>9.983333333333329</v>
      </c>
      <c r="CQ23" s="64">
        <f t="shared" si="38"/>
        <v>0</v>
      </c>
    </row>
    <row r="24" spans="1:95" ht="14.5" x14ac:dyDescent="0.35">
      <c r="A24" s="61" t="s">
        <v>389</v>
      </c>
      <c r="B24" s="87">
        <v>7340.36</v>
      </c>
      <c r="C24" s="88">
        <v>4.43</v>
      </c>
      <c r="D24" s="89">
        <v>0</v>
      </c>
      <c r="E24" s="87">
        <v>7340.3599370000002</v>
      </c>
      <c r="F24" s="88">
        <v>4.43</v>
      </c>
      <c r="G24" s="89">
        <v>0</v>
      </c>
      <c r="H24" s="87">
        <v>0</v>
      </c>
      <c r="I24" s="88">
        <v>0</v>
      </c>
      <c r="J24" s="89">
        <v>0</v>
      </c>
      <c r="K24" s="87">
        <v>0</v>
      </c>
      <c r="L24" s="88">
        <v>0</v>
      </c>
      <c r="M24" s="89">
        <v>0</v>
      </c>
      <c r="N24" s="87">
        <v>-108.9</v>
      </c>
      <c r="O24" s="88">
        <v>-3.17</v>
      </c>
      <c r="P24" s="89">
        <v>0</v>
      </c>
      <c r="Q24" s="62">
        <f t="shared" si="25"/>
        <v>7231.4599370000005</v>
      </c>
      <c r="R24" s="63">
        <f t="shared" si="0"/>
        <v>1.2599999999999998</v>
      </c>
      <c r="S24" s="64">
        <f t="shared" si="0"/>
        <v>0</v>
      </c>
      <c r="T24" s="62">
        <f t="shared" si="26"/>
        <v>7231.4599370000005</v>
      </c>
      <c r="U24" s="63">
        <f t="shared" si="1"/>
        <v>1.2599999999999998</v>
      </c>
      <c r="V24" s="64">
        <f t="shared" si="1"/>
        <v>0</v>
      </c>
      <c r="W24" s="62">
        <f t="shared" si="27"/>
        <v>0</v>
      </c>
      <c r="X24" s="63">
        <f t="shared" si="2"/>
        <v>0</v>
      </c>
      <c r="Y24" s="64">
        <f t="shared" si="2"/>
        <v>0</v>
      </c>
      <c r="Z24" s="103">
        <v>0</v>
      </c>
      <c r="AA24" s="103">
        <v>0</v>
      </c>
      <c r="AB24" s="103">
        <v>0</v>
      </c>
      <c r="AC24" s="104">
        <v>-108.9</v>
      </c>
      <c r="AD24" s="104">
        <v>-3.17</v>
      </c>
      <c r="AE24" s="104">
        <v>0</v>
      </c>
      <c r="AF24" s="62">
        <f t="shared" si="28"/>
        <v>7122.5599370000009</v>
      </c>
      <c r="AG24" s="63">
        <f t="shared" si="3"/>
        <v>-1.9100000000000001</v>
      </c>
      <c r="AH24" s="64">
        <f t="shared" si="3"/>
        <v>0</v>
      </c>
      <c r="AI24" s="94">
        <f t="shared" si="29"/>
        <v>7231.4599580000004</v>
      </c>
      <c r="AJ24" s="95">
        <f t="shared" si="4"/>
        <v>1.2599999999999998</v>
      </c>
      <c r="AK24" s="96">
        <f t="shared" si="4"/>
        <v>0</v>
      </c>
      <c r="AL24" s="97">
        <v>33.53</v>
      </c>
      <c r="AM24" s="98"/>
      <c r="AN24" s="98"/>
      <c r="AO24" s="99"/>
      <c r="AP24" s="62">
        <f t="shared" si="30"/>
        <v>7197.9299580000006</v>
      </c>
      <c r="AQ24" s="63">
        <f t="shared" si="30"/>
        <v>1.2599999999999998</v>
      </c>
      <c r="AR24" s="63">
        <f t="shared" si="31"/>
        <v>0</v>
      </c>
      <c r="AS24" s="64">
        <f t="shared" si="5"/>
        <v>0</v>
      </c>
      <c r="AT24" s="62">
        <f t="shared" si="6"/>
        <v>7122.5599370000009</v>
      </c>
      <c r="AU24" s="62">
        <f t="shared" si="7"/>
        <v>-1.9100000000000001</v>
      </c>
      <c r="AV24" s="100">
        <f t="shared" si="8"/>
        <v>0</v>
      </c>
      <c r="AW24" s="62">
        <f t="shared" si="9"/>
        <v>0</v>
      </c>
      <c r="AX24" s="63">
        <f t="shared" si="10"/>
        <v>0</v>
      </c>
      <c r="AY24" s="64">
        <f t="shared" si="11"/>
        <v>0</v>
      </c>
      <c r="AZ24" s="87">
        <v>0</v>
      </c>
      <c r="BA24" s="88">
        <v>0</v>
      </c>
      <c r="BB24" s="89">
        <v>0</v>
      </c>
      <c r="BC24" s="87">
        <v>-108.9</v>
      </c>
      <c r="BD24" s="88">
        <v>-3.17</v>
      </c>
      <c r="BE24" s="89">
        <v>0</v>
      </c>
      <c r="BF24" s="62">
        <f t="shared" si="32"/>
        <v>7013.6599370000013</v>
      </c>
      <c r="BG24" s="63">
        <f t="shared" si="12"/>
        <v>-5.08</v>
      </c>
      <c r="BH24" s="64">
        <f t="shared" si="12"/>
        <v>0</v>
      </c>
      <c r="BI24" s="94">
        <f t="shared" si="13"/>
        <v>7122.5599370000009</v>
      </c>
      <c r="BJ24" s="95">
        <f t="shared" si="14"/>
        <v>-1.9100000000000001</v>
      </c>
      <c r="BK24" s="96">
        <f t="shared" si="15"/>
        <v>0</v>
      </c>
      <c r="BL24" s="87">
        <v>33.53</v>
      </c>
      <c r="BM24" s="88"/>
      <c r="BN24" s="88"/>
      <c r="BO24" s="89"/>
      <c r="BP24" s="62">
        <f t="shared" si="33"/>
        <v>7089.0299370000012</v>
      </c>
      <c r="BQ24" s="63">
        <f t="shared" si="16"/>
        <v>-1.9100000000000001</v>
      </c>
      <c r="BR24" s="64">
        <f t="shared" si="34"/>
        <v>0</v>
      </c>
      <c r="BS24" s="62">
        <f t="shared" si="17"/>
        <v>7013.6599370000013</v>
      </c>
      <c r="BT24" s="62">
        <f t="shared" si="17"/>
        <v>-5.08</v>
      </c>
      <c r="BU24" s="100">
        <f t="shared" si="17"/>
        <v>0</v>
      </c>
      <c r="BV24" s="62">
        <f t="shared" si="35"/>
        <v>0</v>
      </c>
      <c r="BW24" s="63">
        <f t="shared" si="35"/>
        <v>0</v>
      </c>
      <c r="BX24" s="64">
        <f t="shared" si="35"/>
        <v>0</v>
      </c>
      <c r="BY24" s="62">
        <f t="shared" si="35"/>
        <v>0</v>
      </c>
      <c r="BZ24" s="62">
        <f t="shared" si="19"/>
        <v>0</v>
      </c>
      <c r="CA24" s="100">
        <f t="shared" si="19"/>
        <v>0</v>
      </c>
      <c r="CB24" s="62">
        <f t="shared" si="19"/>
        <v>-108.9</v>
      </c>
      <c r="CC24" s="62">
        <f t="shared" si="19"/>
        <v>-3.17</v>
      </c>
      <c r="CD24" s="100">
        <f t="shared" si="19"/>
        <v>0</v>
      </c>
      <c r="CE24" s="62">
        <f t="shared" si="36"/>
        <v>6904.7599370000016</v>
      </c>
      <c r="CF24" s="63">
        <f t="shared" si="20"/>
        <v>-8.25</v>
      </c>
      <c r="CG24" s="64">
        <f t="shared" si="20"/>
        <v>0</v>
      </c>
      <c r="CH24" s="94">
        <f t="shared" si="21"/>
        <v>7086.2599440000013</v>
      </c>
      <c r="CI24" s="95">
        <f t="shared" si="22"/>
        <v>-2.9666666666666668</v>
      </c>
      <c r="CJ24" s="96">
        <f t="shared" si="23"/>
        <v>0</v>
      </c>
      <c r="CK24" s="87">
        <v>33.53</v>
      </c>
      <c r="CL24" s="88"/>
      <c r="CM24" s="88"/>
      <c r="CN24" s="89"/>
      <c r="CO24" s="62">
        <f t="shared" si="37"/>
        <v>7052.7299440000015</v>
      </c>
      <c r="CP24" s="63">
        <f t="shared" si="24"/>
        <v>-2.9666666666666668</v>
      </c>
      <c r="CQ24" s="64">
        <f t="shared" si="38"/>
        <v>0</v>
      </c>
    </row>
    <row r="25" spans="1:95" ht="14.5" x14ac:dyDescent="0.35">
      <c r="A25" s="61" t="s">
        <v>390</v>
      </c>
      <c r="B25" s="87">
        <v>6799.88</v>
      </c>
      <c r="C25" s="88">
        <v>38.44</v>
      </c>
      <c r="D25" s="89">
        <v>15.96</v>
      </c>
      <c r="E25" s="87">
        <v>6799.880000000001</v>
      </c>
      <c r="F25" s="88">
        <v>38.44</v>
      </c>
      <c r="G25" s="89">
        <v>15.96</v>
      </c>
      <c r="H25" s="87">
        <v>199.767</v>
      </c>
      <c r="I25" s="88">
        <v>9.85</v>
      </c>
      <c r="J25" s="89">
        <v>-7.23</v>
      </c>
      <c r="K25" s="87">
        <v>11.333</v>
      </c>
      <c r="L25" s="88">
        <v>0</v>
      </c>
      <c r="M25" s="89">
        <v>0</v>
      </c>
      <c r="N25" s="87">
        <v>0</v>
      </c>
      <c r="O25" s="88">
        <v>0</v>
      </c>
      <c r="P25" s="89">
        <v>0</v>
      </c>
      <c r="Q25" s="62">
        <f t="shared" si="25"/>
        <v>7010.9800000000005</v>
      </c>
      <c r="R25" s="63">
        <f t="shared" si="0"/>
        <v>48.29</v>
      </c>
      <c r="S25" s="64">
        <f t="shared" si="0"/>
        <v>8.73</v>
      </c>
      <c r="T25" s="62">
        <f t="shared" si="26"/>
        <v>7010.9800000000005</v>
      </c>
      <c r="U25" s="63">
        <f t="shared" si="1"/>
        <v>48.29</v>
      </c>
      <c r="V25" s="64">
        <f t="shared" si="1"/>
        <v>8.73</v>
      </c>
      <c r="W25" s="62">
        <f t="shared" si="27"/>
        <v>199.767</v>
      </c>
      <c r="X25" s="63">
        <f t="shared" si="2"/>
        <v>9.85</v>
      </c>
      <c r="Y25" s="64">
        <f t="shared" si="2"/>
        <v>-7.23</v>
      </c>
      <c r="Z25" s="105">
        <v>11.333</v>
      </c>
      <c r="AA25" s="105">
        <v>0</v>
      </c>
      <c r="AB25" s="105">
        <v>0</v>
      </c>
      <c r="AC25" s="92">
        <v>0</v>
      </c>
      <c r="AD25" s="92">
        <v>0</v>
      </c>
      <c r="AE25" s="92">
        <v>0</v>
      </c>
      <c r="AF25" s="62">
        <f t="shared" si="28"/>
        <v>7222.08</v>
      </c>
      <c r="AG25" s="63">
        <f t="shared" si="3"/>
        <v>58.14</v>
      </c>
      <c r="AH25" s="64">
        <f t="shared" si="3"/>
        <v>1.5</v>
      </c>
      <c r="AI25" s="94">
        <f t="shared" si="29"/>
        <v>6944.3910000000005</v>
      </c>
      <c r="AJ25" s="95">
        <f t="shared" si="4"/>
        <v>45.006666666666668</v>
      </c>
      <c r="AK25" s="96">
        <f t="shared" si="4"/>
        <v>11.14</v>
      </c>
      <c r="AL25" s="97">
        <v>21.49</v>
      </c>
      <c r="AM25" s="98"/>
      <c r="AN25" s="98">
        <v>55.11</v>
      </c>
      <c r="AO25" s="99">
        <v>0</v>
      </c>
      <c r="AP25" s="62">
        <f t="shared" si="30"/>
        <v>7067.5580000000009</v>
      </c>
      <c r="AQ25" s="63">
        <f t="shared" si="30"/>
        <v>54.856666666666669</v>
      </c>
      <c r="AR25" s="63">
        <f t="shared" si="31"/>
        <v>3.91</v>
      </c>
      <c r="AS25" s="64">
        <f t="shared" si="5"/>
        <v>1.5</v>
      </c>
      <c r="AT25" s="62">
        <f t="shared" si="6"/>
        <v>7222.08</v>
      </c>
      <c r="AU25" s="62">
        <f t="shared" si="7"/>
        <v>58.14</v>
      </c>
      <c r="AV25" s="100">
        <f t="shared" si="8"/>
        <v>1.5</v>
      </c>
      <c r="AW25" s="62">
        <f t="shared" si="9"/>
        <v>199.767</v>
      </c>
      <c r="AX25" s="63">
        <f t="shared" si="10"/>
        <v>9.85</v>
      </c>
      <c r="AY25" s="64">
        <f t="shared" si="11"/>
        <v>-7.23</v>
      </c>
      <c r="AZ25" s="62">
        <f t="shared" ref="AZ25:BB26" si="44">+Z25</f>
        <v>11.333</v>
      </c>
      <c r="BA25" s="63">
        <f t="shared" si="44"/>
        <v>0</v>
      </c>
      <c r="BB25" s="64">
        <f t="shared" si="44"/>
        <v>0</v>
      </c>
      <c r="BC25" s="87">
        <v>0</v>
      </c>
      <c r="BD25" s="88">
        <v>0</v>
      </c>
      <c r="BE25" s="89">
        <v>0</v>
      </c>
      <c r="BF25" s="62">
        <f t="shared" si="32"/>
        <v>7433.1799999999994</v>
      </c>
      <c r="BG25" s="63">
        <f t="shared" si="12"/>
        <v>67.989999999999995</v>
      </c>
      <c r="BH25" s="64">
        <f t="shared" si="12"/>
        <v>-5.73</v>
      </c>
      <c r="BI25" s="94">
        <f t="shared" si="13"/>
        <v>7151.713333333334</v>
      </c>
      <c r="BJ25" s="95">
        <f t="shared" si="14"/>
        <v>54.856666666666676</v>
      </c>
      <c r="BK25" s="96">
        <f t="shared" si="15"/>
        <v>3.91</v>
      </c>
      <c r="BL25" s="87">
        <v>21.49</v>
      </c>
      <c r="BM25" s="88"/>
      <c r="BN25" s="88">
        <v>55.11</v>
      </c>
      <c r="BO25" s="89">
        <v>0</v>
      </c>
      <c r="BP25" s="62">
        <f t="shared" si="33"/>
        <v>7286.213333333334</v>
      </c>
      <c r="BQ25" s="63">
        <f t="shared" si="16"/>
        <v>64.706666666666678</v>
      </c>
      <c r="BR25" s="64">
        <f t="shared" si="34"/>
        <v>-3.3200000000000003</v>
      </c>
      <c r="BS25" s="62">
        <f t="shared" si="17"/>
        <v>7433.1799999999994</v>
      </c>
      <c r="BT25" s="62">
        <f t="shared" si="17"/>
        <v>67.989999999999995</v>
      </c>
      <c r="BU25" s="100">
        <f t="shared" si="17"/>
        <v>-5.73</v>
      </c>
      <c r="BV25" s="62">
        <f t="shared" si="35"/>
        <v>199.767</v>
      </c>
      <c r="BW25" s="63">
        <f t="shared" si="35"/>
        <v>9.85</v>
      </c>
      <c r="BX25" s="64">
        <f t="shared" si="35"/>
        <v>-7.23</v>
      </c>
      <c r="BY25" s="62">
        <f t="shared" si="35"/>
        <v>11.333</v>
      </c>
      <c r="BZ25" s="62">
        <f t="shared" si="19"/>
        <v>0</v>
      </c>
      <c r="CA25" s="100">
        <f t="shared" si="19"/>
        <v>0</v>
      </c>
      <c r="CB25" s="62">
        <f t="shared" si="19"/>
        <v>0</v>
      </c>
      <c r="CC25" s="62">
        <f t="shared" si="19"/>
        <v>0</v>
      </c>
      <c r="CD25" s="100">
        <f t="shared" si="19"/>
        <v>0</v>
      </c>
      <c r="CE25" s="62">
        <f t="shared" si="36"/>
        <v>7644.2799999999988</v>
      </c>
      <c r="CF25" s="63">
        <f t="shared" si="20"/>
        <v>77.839999999999989</v>
      </c>
      <c r="CG25" s="64">
        <f t="shared" si="20"/>
        <v>-12.96</v>
      </c>
      <c r="CH25" s="94">
        <f t="shared" si="21"/>
        <v>7313.3837777777781</v>
      </c>
      <c r="CI25" s="95">
        <f t="shared" si="22"/>
        <v>62.517777777777773</v>
      </c>
      <c r="CJ25" s="96">
        <f t="shared" si="23"/>
        <v>-1.7133333333333336</v>
      </c>
      <c r="CK25" s="87">
        <v>21.49</v>
      </c>
      <c r="CL25" s="88"/>
      <c r="CM25" s="88">
        <v>55.11</v>
      </c>
      <c r="CN25" s="89">
        <v>0</v>
      </c>
      <c r="CO25" s="62">
        <f t="shared" si="37"/>
        <v>7447.8837777777781</v>
      </c>
      <c r="CP25" s="63">
        <f t="shared" si="24"/>
        <v>72.367777777777775</v>
      </c>
      <c r="CQ25" s="64">
        <f t="shared" si="38"/>
        <v>-8.9433333333333334</v>
      </c>
    </row>
    <row r="26" spans="1:95" ht="14.5" x14ac:dyDescent="0.35">
      <c r="A26" s="61" t="s">
        <v>391</v>
      </c>
      <c r="B26" s="87">
        <v>21654.28</v>
      </c>
      <c r="C26" s="88">
        <v>74.239999999999995</v>
      </c>
      <c r="D26" s="89">
        <v>0</v>
      </c>
      <c r="E26" s="87">
        <v>21654.279988000002</v>
      </c>
      <c r="F26" s="88">
        <v>74.239999999999995</v>
      </c>
      <c r="G26" s="89">
        <v>0</v>
      </c>
      <c r="H26" s="87">
        <v>373.56</v>
      </c>
      <c r="I26" s="88">
        <v>-15.25</v>
      </c>
      <c r="J26" s="89">
        <v>0</v>
      </c>
      <c r="K26" s="87">
        <v>0</v>
      </c>
      <c r="L26" s="88">
        <v>0</v>
      </c>
      <c r="M26" s="89">
        <v>0</v>
      </c>
      <c r="N26" s="87">
        <v>0</v>
      </c>
      <c r="O26" s="88">
        <v>0</v>
      </c>
      <c r="P26" s="89">
        <v>0</v>
      </c>
      <c r="Q26" s="62">
        <f t="shared" si="25"/>
        <v>22027.839988000003</v>
      </c>
      <c r="R26" s="63">
        <f t="shared" si="0"/>
        <v>58.989999999999995</v>
      </c>
      <c r="S26" s="64">
        <f t="shared" si="0"/>
        <v>0</v>
      </c>
      <c r="T26" s="62">
        <f t="shared" si="26"/>
        <v>22027.839988000003</v>
      </c>
      <c r="U26" s="63">
        <f t="shared" si="1"/>
        <v>58.989999999999995</v>
      </c>
      <c r="V26" s="64">
        <f t="shared" si="1"/>
        <v>0</v>
      </c>
      <c r="W26" s="62">
        <f t="shared" si="27"/>
        <v>373.56</v>
      </c>
      <c r="X26" s="63">
        <f t="shared" si="2"/>
        <v>-15.25</v>
      </c>
      <c r="Y26" s="64">
        <f t="shared" si="2"/>
        <v>0</v>
      </c>
      <c r="Z26" s="103">
        <v>0</v>
      </c>
      <c r="AA26" s="103">
        <v>0</v>
      </c>
      <c r="AB26" s="103">
        <v>0</v>
      </c>
      <c r="AC26" s="92">
        <v>0</v>
      </c>
      <c r="AD26" s="92">
        <v>0</v>
      </c>
      <c r="AE26" s="92">
        <v>0</v>
      </c>
      <c r="AF26" s="62">
        <f t="shared" si="28"/>
        <v>22401.399988000005</v>
      </c>
      <c r="AG26" s="63">
        <f t="shared" si="3"/>
        <v>43.739999999999995</v>
      </c>
      <c r="AH26" s="64">
        <f t="shared" si="3"/>
        <v>0</v>
      </c>
      <c r="AI26" s="94">
        <f t="shared" si="29"/>
        <v>21903.319992000004</v>
      </c>
      <c r="AJ26" s="95">
        <f t="shared" si="4"/>
        <v>64.073333333333323</v>
      </c>
      <c r="AK26" s="96">
        <f t="shared" si="4"/>
        <v>0</v>
      </c>
      <c r="AL26" s="97">
        <v>1141.01</v>
      </c>
      <c r="AM26" s="98"/>
      <c r="AN26" s="98">
        <v>3.88</v>
      </c>
      <c r="AO26" s="99">
        <v>0</v>
      </c>
      <c r="AP26" s="62">
        <f t="shared" si="30"/>
        <v>21131.989992000006</v>
      </c>
      <c r="AQ26" s="63">
        <f t="shared" si="30"/>
        <v>48.823333333333323</v>
      </c>
      <c r="AR26" s="63">
        <f t="shared" si="31"/>
        <v>0</v>
      </c>
      <c r="AS26" s="64">
        <f t="shared" si="5"/>
        <v>0</v>
      </c>
      <c r="AT26" s="62">
        <f t="shared" si="6"/>
        <v>22401.399988000005</v>
      </c>
      <c r="AU26" s="62">
        <f t="shared" si="7"/>
        <v>43.739999999999995</v>
      </c>
      <c r="AV26" s="100">
        <f t="shared" si="8"/>
        <v>0</v>
      </c>
      <c r="AW26" s="62">
        <f t="shared" si="9"/>
        <v>373.56</v>
      </c>
      <c r="AX26" s="63">
        <f t="shared" si="10"/>
        <v>-15.25</v>
      </c>
      <c r="AY26" s="64">
        <f t="shared" si="11"/>
        <v>0</v>
      </c>
      <c r="AZ26" s="62">
        <f t="shared" si="44"/>
        <v>0</v>
      </c>
      <c r="BA26" s="63">
        <f t="shared" si="44"/>
        <v>0</v>
      </c>
      <c r="BB26" s="64">
        <f t="shared" si="44"/>
        <v>0</v>
      </c>
      <c r="BC26" s="87">
        <v>0</v>
      </c>
      <c r="BD26" s="88">
        <v>0</v>
      </c>
      <c r="BE26" s="89">
        <v>0</v>
      </c>
      <c r="BF26" s="62">
        <f t="shared" si="32"/>
        <v>22774.959988000006</v>
      </c>
      <c r="BG26" s="63">
        <f t="shared" si="12"/>
        <v>28.489999999999995</v>
      </c>
      <c r="BH26" s="64">
        <f t="shared" si="12"/>
        <v>0</v>
      </c>
      <c r="BI26" s="94">
        <f t="shared" si="13"/>
        <v>22276.879988000004</v>
      </c>
      <c r="BJ26" s="95">
        <f t="shared" si="14"/>
        <v>48.823333333333323</v>
      </c>
      <c r="BK26" s="96">
        <f t="shared" si="15"/>
        <v>0</v>
      </c>
      <c r="BL26" s="87">
        <v>1141.01</v>
      </c>
      <c r="BM26" s="88"/>
      <c r="BN26" s="88">
        <v>3.88</v>
      </c>
      <c r="BO26" s="89">
        <v>0</v>
      </c>
      <c r="BP26" s="62">
        <f t="shared" si="33"/>
        <v>21505.549988000006</v>
      </c>
      <c r="BQ26" s="63">
        <f t="shared" si="16"/>
        <v>33.573333333333323</v>
      </c>
      <c r="BR26" s="64">
        <f t="shared" si="34"/>
        <v>0</v>
      </c>
      <c r="BS26" s="62">
        <f t="shared" si="17"/>
        <v>22774.959988000006</v>
      </c>
      <c r="BT26" s="62">
        <f t="shared" si="17"/>
        <v>28.489999999999995</v>
      </c>
      <c r="BU26" s="100">
        <f t="shared" si="17"/>
        <v>0</v>
      </c>
      <c r="BV26" s="62">
        <f t="shared" si="35"/>
        <v>373.56</v>
      </c>
      <c r="BW26" s="63">
        <f t="shared" si="35"/>
        <v>-15.25</v>
      </c>
      <c r="BX26" s="64">
        <f t="shared" si="35"/>
        <v>0</v>
      </c>
      <c r="BY26" s="62">
        <f t="shared" si="35"/>
        <v>0</v>
      </c>
      <c r="BZ26" s="62">
        <f t="shared" si="19"/>
        <v>0</v>
      </c>
      <c r="CA26" s="100">
        <f t="shared" si="19"/>
        <v>0</v>
      </c>
      <c r="CB26" s="62">
        <f t="shared" si="19"/>
        <v>0</v>
      </c>
      <c r="CC26" s="62">
        <f t="shared" si="19"/>
        <v>0</v>
      </c>
      <c r="CD26" s="100">
        <f t="shared" si="19"/>
        <v>0</v>
      </c>
      <c r="CE26" s="62">
        <f t="shared" si="36"/>
        <v>23148.519988000007</v>
      </c>
      <c r="CF26" s="63">
        <f t="shared" si="20"/>
        <v>13.239999999999995</v>
      </c>
      <c r="CG26" s="64">
        <f t="shared" si="20"/>
        <v>0</v>
      </c>
      <c r="CH26" s="94">
        <f t="shared" si="21"/>
        <v>22567.426656000007</v>
      </c>
      <c r="CI26" s="95">
        <f t="shared" si="22"/>
        <v>36.962222222222216</v>
      </c>
      <c r="CJ26" s="96">
        <f t="shared" si="23"/>
        <v>0</v>
      </c>
      <c r="CK26" s="87">
        <v>1141.01</v>
      </c>
      <c r="CL26" s="88"/>
      <c r="CM26" s="88">
        <v>3.88</v>
      </c>
      <c r="CN26" s="89">
        <v>0</v>
      </c>
      <c r="CO26" s="62">
        <f t="shared" si="37"/>
        <v>21796.096656000009</v>
      </c>
      <c r="CP26" s="63">
        <f t="shared" si="24"/>
        <v>21.712222222222216</v>
      </c>
      <c r="CQ26" s="64">
        <f t="shared" si="38"/>
        <v>0</v>
      </c>
    </row>
    <row r="27" spans="1:95" ht="14.5" x14ac:dyDescent="0.35">
      <c r="A27" s="61" t="s">
        <v>392</v>
      </c>
      <c r="B27" s="87">
        <v>1663.3</v>
      </c>
      <c r="C27" s="88">
        <v>56.42</v>
      </c>
      <c r="D27" s="89">
        <v>14.09</v>
      </c>
      <c r="E27" s="87">
        <v>1663.3</v>
      </c>
      <c r="F27" s="88">
        <v>56.419921000000002</v>
      </c>
      <c r="G27" s="89">
        <v>14.09</v>
      </c>
      <c r="H27" s="87">
        <v>0</v>
      </c>
      <c r="I27" s="88">
        <v>0</v>
      </c>
      <c r="J27" s="89">
        <v>0</v>
      </c>
      <c r="K27" s="87">
        <v>0</v>
      </c>
      <c r="L27" s="88">
        <v>0</v>
      </c>
      <c r="M27" s="89">
        <v>0</v>
      </c>
      <c r="N27" s="87">
        <v>-41.18</v>
      </c>
      <c r="O27" s="88">
        <v>22.6</v>
      </c>
      <c r="P27" s="89">
        <v>-10.32</v>
      </c>
      <c r="Q27" s="62">
        <f t="shared" si="25"/>
        <v>1622.12</v>
      </c>
      <c r="R27" s="63">
        <f t="shared" si="0"/>
        <v>79.019921000000011</v>
      </c>
      <c r="S27" s="64">
        <f t="shared" si="0"/>
        <v>3.7699999999999996</v>
      </c>
      <c r="T27" s="62">
        <f t="shared" si="26"/>
        <v>1622.12</v>
      </c>
      <c r="U27" s="63">
        <f t="shared" si="1"/>
        <v>79.019921000000011</v>
      </c>
      <c r="V27" s="64">
        <f t="shared" si="1"/>
        <v>3.7699999999999996</v>
      </c>
      <c r="W27" s="62">
        <f t="shared" si="27"/>
        <v>0</v>
      </c>
      <c r="X27" s="63">
        <f t="shared" si="2"/>
        <v>0</v>
      </c>
      <c r="Y27" s="64">
        <f t="shared" si="2"/>
        <v>0</v>
      </c>
      <c r="Z27" s="103">
        <v>0</v>
      </c>
      <c r="AA27" s="103">
        <v>0</v>
      </c>
      <c r="AB27" s="103">
        <v>0</v>
      </c>
      <c r="AC27" s="104">
        <v>-41.18</v>
      </c>
      <c r="AD27" s="104">
        <v>22.6</v>
      </c>
      <c r="AE27" s="104">
        <v>-10.32</v>
      </c>
      <c r="AF27" s="62">
        <f t="shared" si="28"/>
        <v>1580.9399999999998</v>
      </c>
      <c r="AG27" s="63">
        <f t="shared" si="3"/>
        <v>101.61992100000001</v>
      </c>
      <c r="AH27" s="64">
        <f t="shared" si="3"/>
        <v>-6.5500000000000007</v>
      </c>
      <c r="AI27" s="94">
        <f t="shared" si="29"/>
        <v>1622.12</v>
      </c>
      <c r="AJ27" s="95">
        <f t="shared" si="4"/>
        <v>79.019947333333349</v>
      </c>
      <c r="AK27" s="96">
        <f t="shared" si="4"/>
        <v>3.7699999999999996</v>
      </c>
      <c r="AL27" s="97">
        <v>30.88</v>
      </c>
      <c r="AM27" s="98"/>
      <c r="AN27" s="98">
        <v>690.1</v>
      </c>
      <c r="AO27" s="99">
        <v>0</v>
      </c>
      <c r="AP27" s="62">
        <f t="shared" si="30"/>
        <v>901.13999999999976</v>
      </c>
      <c r="AQ27" s="63">
        <f t="shared" si="30"/>
        <v>79.019947333333349</v>
      </c>
      <c r="AR27" s="63">
        <f t="shared" si="31"/>
        <v>3.7699999999999996</v>
      </c>
      <c r="AS27" s="64">
        <f t="shared" si="5"/>
        <v>-6.5500000000000007</v>
      </c>
      <c r="AT27" s="62">
        <f t="shared" si="6"/>
        <v>1580.9399999999998</v>
      </c>
      <c r="AU27" s="62">
        <f t="shared" si="7"/>
        <v>101.61992100000001</v>
      </c>
      <c r="AV27" s="100">
        <f t="shared" si="8"/>
        <v>-6.5500000000000007</v>
      </c>
      <c r="AW27" s="62">
        <f t="shared" si="9"/>
        <v>0</v>
      </c>
      <c r="AX27" s="63">
        <f t="shared" si="10"/>
        <v>0</v>
      </c>
      <c r="AY27" s="64">
        <f t="shared" si="11"/>
        <v>0</v>
      </c>
      <c r="AZ27" s="87">
        <v>0</v>
      </c>
      <c r="BA27" s="88">
        <v>0</v>
      </c>
      <c r="BB27" s="89">
        <v>0</v>
      </c>
      <c r="BC27" s="87">
        <v>-41.18</v>
      </c>
      <c r="BD27" s="88">
        <v>22.6</v>
      </c>
      <c r="BE27" s="89">
        <v>-10.32</v>
      </c>
      <c r="BF27" s="62">
        <f t="shared" si="32"/>
        <v>1539.7599999999998</v>
      </c>
      <c r="BG27" s="63">
        <f t="shared" si="12"/>
        <v>124.219921</v>
      </c>
      <c r="BH27" s="64">
        <f t="shared" si="12"/>
        <v>-16.87</v>
      </c>
      <c r="BI27" s="94">
        <f t="shared" si="13"/>
        <v>1580.9399999999998</v>
      </c>
      <c r="BJ27" s="95">
        <f t="shared" si="14"/>
        <v>101.61992100000002</v>
      </c>
      <c r="BK27" s="96">
        <f t="shared" si="15"/>
        <v>-6.5500000000000007</v>
      </c>
      <c r="BL27" s="87">
        <v>30.88</v>
      </c>
      <c r="BM27" s="88"/>
      <c r="BN27" s="88">
        <v>690.1</v>
      </c>
      <c r="BO27" s="89">
        <v>0</v>
      </c>
      <c r="BP27" s="62">
        <f t="shared" si="33"/>
        <v>859.9599999999997</v>
      </c>
      <c r="BQ27" s="63">
        <f t="shared" si="16"/>
        <v>101.61992100000002</v>
      </c>
      <c r="BR27" s="64">
        <f t="shared" si="34"/>
        <v>-6.5500000000000007</v>
      </c>
      <c r="BS27" s="62">
        <f t="shared" si="17"/>
        <v>1539.7599999999998</v>
      </c>
      <c r="BT27" s="62">
        <f t="shared" si="17"/>
        <v>124.219921</v>
      </c>
      <c r="BU27" s="100">
        <f t="shared" si="17"/>
        <v>-16.87</v>
      </c>
      <c r="BV27" s="62">
        <f t="shared" si="35"/>
        <v>0</v>
      </c>
      <c r="BW27" s="63">
        <f t="shared" si="35"/>
        <v>0</v>
      </c>
      <c r="BX27" s="64">
        <f t="shared" si="35"/>
        <v>0</v>
      </c>
      <c r="BY27" s="62">
        <f t="shared" si="35"/>
        <v>0</v>
      </c>
      <c r="BZ27" s="62">
        <f t="shared" si="19"/>
        <v>0</v>
      </c>
      <c r="CA27" s="100">
        <f t="shared" si="19"/>
        <v>0</v>
      </c>
      <c r="CB27" s="62">
        <f t="shared" si="19"/>
        <v>-41.18</v>
      </c>
      <c r="CC27" s="62">
        <f t="shared" si="19"/>
        <v>22.6</v>
      </c>
      <c r="CD27" s="100">
        <f t="shared" si="19"/>
        <v>-10.32</v>
      </c>
      <c r="CE27" s="62">
        <f t="shared" si="36"/>
        <v>1498.5799999999997</v>
      </c>
      <c r="CF27" s="63">
        <f t="shared" si="20"/>
        <v>146.81992099999999</v>
      </c>
      <c r="CG27" s="64">
        <f t="shared" si="20"/>
        <v>-27.19</v>
      </c>
      <c r="CH27" s="94">
        <f t="shared" si="21"/>
        <v>1567.2133333333331</v>
      </c>
      <c r="CI27" s="95">
        <f t="shared" si="22"/>
        <v>109.15326311111112</v>
      </c>
      <c r="CJ27" s="96">
        <f t="shared" si="23"/>
        <v>-9.99</v>
      </c>
      <c r="CK27" s="87">
        <v>30.88</v>
      </c>
      <c r="CL27" s="88"/>
      <c r="CM27" s="88">
        <v>690.1</v>
      </c>
      <c r="CN27" s="89">
        <v>0</v>
      </c>
      <c r="CO27" s="62">
        <f t="shared" si="37"/>
        <v>846.23333333333301</v>
      </c>
      <c r="CP27" s="63">
        <f t="shared" si="24"/>
        <v>109.15326311111112</v>
      </c>
      <c r="CQ27" s="64">
        <f t="shared" si="38"/>
        <v>-9.99</v>
      </c>
    </row>
    <row r="28" spans="1:95" ht="14.5" x14ac:dyDescent="0.35">
      <c r="A28" s="61" t="s">
        <v>393</v>
      </c>
      <c r="B28" s="87">
        <v>1570.57</v>
      </c>
      <c r="C28" s="88">
        <v>23.93</v>
      </c>
      <c r="D28" s="89">
        <v>1.62</v>
      </c>
      <c r="E28" s="87">
        <v>1570.5699300000001</v>
      </c>
      <c r="F28" s="88">
        <v>23.93</v>
      </c>
      <c r="G28" s="89">
        <v>1.62</v>
      </c>
      <c r="H28" s="87">
        <v>0</v>
      </c>
      <c r="I28" s="88">
        <v>0</v>
      </c>
      <c r="J28" s="89">
        <v>0</v>
      </c>
      <c r="K28" s="87">
        <v>0</v>
      </c>
      <c r="L28" s="88">
        <v>0</v>
      </c>
      <c r="M28" s="89">
        <v>0</v>
      </c>
      <c r="N28" s="87">
        <v>-152.46</v>
      </c>
      <c r="O28" s="88">
        <v>-5.55</v>
      </c>
      <c r="P28" s="89">
        <v>-1.02</v>
      </c>
      <c r="Q28" s="62">
        <f t="shared" si="25"/>
        <v>1418.1099300000001</v>
      </c>
      <c r="R28" s="63">
        <f t="shared" si="0"/>
        <v>18.38</v>
      </c>
      <c r="S28" s="64">
        <f t="shared" si="0"/>
        <v>0.60000000000000009</v>
      </c>
      <c r="T28" s="62">
        <f t="shared" si="26"/>
        <v>1418.1099300000001</v>
      </c>
      <c r="U28" s="63">
        <f t="shared" si="1"/>
        <v>18.38</v>
      </c>
      <c r="V28" s="64">
        <f t="shared" si="1"/>
        <v>0.60000000000000009</v>
      </c>
      <c r="W28" s="62">
        <f t="shared" si="27"/>
        <v>0</v>
      </c>
      <c r="X28" s="63">
        <f t="shared" si="2"/>
        <v>0</v>
      </c>
      <c r="Y28" s="64">
        <f t="shared" si="2"/>
        <v>0</v>
      </c>
      <c r="Z28" s="103">
        <v>0</v>
      </c>
      <c r="AA28" s="103">
        <v>0</v>
      </c>
      <c r="AB28" s="103">
        <v>0</v>
      </c>
      <c r="AC28" s="109">
        <v>-30.492000000000004</v>
      </c>
      <c r="AD28" s="109">
        <v>-1.1100000000000001</v>
      </c>
      <c r="AE28" s="109">
        <v>-0.20400000000000001</v>
      </c>
      <c r="AF28" s="62">
        <f t="shared" si="28"/>
        <v>1387.6179300000001</v>
      </c>
      <c r="AG28" s="63">
        <f t="shared" si="3"/>
        <v>17.27</v>
      </c>
      <c r="AH28" s="64">
        <f t="shared" si="3"/>
        <v>0.39600000000000007</v>
      </c>
      <c r="AI28" s="94">
        <f t="shared" si="29"/>
        <v>1458.7659533333335</v>
      </c>
      <c r="AJ28" s="95">
        <f t="shared" si="4"/>
        <v>19.86</v>
      </c>
      <c r="AK28" s="96">
        <f t="shared" si="4"/>
        <v>0.872</v>
      </c>
      <c r="AL28" s="97">
        <v>35.6</v>
      </c>
      <c r="AM28" s="98"/>
      <c r="AN28" s="98">
        <v>497</v>
      </c>
      <c r="AO28" s="99">
        <v>9</v>
      </c>
      <c r="AP28" s="62">
        <f t="shared" si="30"/>
        <v>926.16595333333362</v>
      </c>
      <c r="AQ28" s="63">
        <f t="shared" si="30"/>
        <v>10.86</v>
      </c>
      <c r="AR28" s="63">
        <f t="shared" si="31"/>
        <v>0.872</v>
      </c>
      <c r="AS28" s="64">
        <f t="shared" si="5"/>
        <v>0.39600000000000007</v>
      </c>
      <c r="AT28" s="62">
        <f t="shared" si="6"/>
        <v>1387.6179300000001</v>
      </c>
      <c r="AU28" s="62">
        <f t="shared" si="7"/>
        <v>17.27</v>
      </c>
      <c r="AV28" s="100">
        <f t="shared" si="8"/>
        <v>0.39600000000000007</v>
      </c>
      <c r="AW28" s="62">
        <f t="shared" si="9"/>
        <v>0</v>
      </c>
      <c r="AX28" s="63">
        <f t="shared" si="10"/>
        <v>0</v>
      </c>
      <c r="AY28" s="64">
        <f t="shared" si="11"/>
        <v>0</v>
      </c>
      <c r="AZ28" s="87">
        <v>0</v>
      </c>
      <c r="BA28" s="88">
        <v>0</v>
      </c>
      <c r="BB28" s="89">
        <v>0</v>
      </c>
      <c r="BC28" s="87">
        <v>-30.492000000000004</v>
      </c>
      <c r="BD28" s="88">
        <v>-1.1100000000000001</v>
      </c>
      <c r="BE28" s="89">
        <v>-0.20400000000000001</v>
      </c>
      <c r="BF28" s="62">
        <f t="shared" si="32"/>
        <v>1357.1259300000002</v>
      </c>
      <c r="BG28" s="63">
        <f t="shared" si="12"/>
        <v>16.16</v>
      </c>
      <c r="BH28" s="64">
        <f t="shared" si="12"/>
        <v>0.19200000000000006</v>
      </c>
      <c r="BI28" s="94">
        <f t="shared" si="13"/>
        <v>1387.6179300000001</v>
      </c>
      <c r="BJ28" s="95">
        <f t="shared" si="14"/>
        <v>17.27</v>
      </c>
      <c r="BK28" s="96">
        <f t="shared" si="15"/>
        <v>0.39600000000000007</v>
      </c>
      <c r="BL28" s="87">
        <v>35.6</v>
      </c>
      <c r="BM28" s="88"/>
      <c r="BN28" s="88">
        <v>497</v>
      </c>
      <c r="BO28" s="89">
        <v>9</v>
      </c>
      <c r="BP28" s="62">
        <f t="shared" si="33"/>
        <v>855.01793000000021</v>
      </c>
      <c r="BQ28" s="63">
        <f t="shared" si="16"/>
        <v>8.27</v>
      </c>
      <c r="BR28" s="64">
        <f t="shared" si="34"/>
        <v>0.39600000000000007</v>
      </c>
      <c r="BS28" s="62">
        <f t="shared" si="17"/>
        <v>1357.1259300000002</v>
      </c>
      <c r="BT28" s="62">
        <f t="shared" si="17"/>
        <v>16.16</v>
      </c>
      <c r="BU28" s="100">
        <f t="shared" si="17"/>
        <v>0.19200000000000006</v>
      </c>
      <c r="BV28" s="62">
        <f t="shared" si="35"/>
        <v>0</v>
      </c>
      <c r="BW28" s="63">
        <f t="shared" si="35"/>
        <v>0</v>
      </c>
      <c r="BX28" s="64">
        <f t="shared" si="35"/>
        <v>0</v>
      </c>
      <c r="BY28" s="62">
        <f t="shared" si="35"/>
        <v>0</v>
      </c>
      <c r="BZ28" s="62">
        <f t="shared" si="19"/>
        <v>0</v>
      </c>
      <c r="CA28" s="100">
        <f t="shared" si="19"/>
        <v>0</v>
      </c>
      <c r="CB28" s="62">
        <f t="shared" si="19"/>
        <v>-30.492000000000004</v>
      </c>
      <c r="CC28" s="62">
        <f t="shared" si="19"/>
        <v>-1.1100000000000001</v>
      </c>
      <c r="CD28" s="100">
        <f t="shared" si="19"/>
        <v>-0.20400000000000001</v>
      </c>
      <c r="CE28" s="62">
        <f t="shared" si="36"/>
        <v>1326.6339300000002</v>
      </c>
      <c r="CF28" s="63">
        <f t="shared" si="20"/>
        <v>15.05</v>
      </c>
      <c r="CG28" s="64">
        <f t="shared" si="20"/>
        <v>-1.1999999999999955E-2</v>
      </c>
      <c r="CH28" s="94">
        <f t="shared" si="21"/>
        <v>1391.0059377777779</v>
      </c>
      <c r="CI28" s="95">
        <f t="shared" si="22"/>
        <v>17.393333333333331</v>
      </c>
      <c r="CJ28" s="96">
        <f t="shared" si="23"/>
        <v>0.41866666666666669</v>
      </c>
      <c r="CK28" s="87">
        <v>35.6</v>
      </c>
      <c r="CL28" s="88"/>
      <c r="CM28" s="88">
        <v>497</v>
      </c>
      <c r="CN28" s="89">
        <v>9</v>
      </c>
      <c r="CO28" s="62">
        <f t="shared" si="37"/>
        <v>858.40593777777804</v>
      </c>
      <c r="CP28" s="63">
        <f t="shared" si="24"/>
        <v>8.3933333333333309</v>
      </c>
      <c r="CQ28" s="64">
        <f t="shared" si="38"/>
        <v>0.41866666666666669</v>
      </c>
    </row>
    <row r="29" spans="1:95" ht="14.5" x14ac:dyDescent="0.35">
      <c r="A29" s="61" t="s">
        <v>394</v>
      </c>
      <c r="B29" s="87">
        <v>20580.63</v>
      </c>
      <c r="C29" s="88">
        <v>108.52</v>
      </c>
      <c r="D29" s="89">
        <v>386.81</v>
      </c>
      <c r="E29" s="87">
        <v>20580.630004999999</v>
      </c>
      <c r="F29" s="88">
        <v>108.52</v>
      </c>
      <c r="G29" s="89">
        <v>386.81</v>
      </c>
      <c r="H29" s="87">
        <v>0</v>
      </c>
      <c r="I29" s="88">
        <v>0</v>
      </c>
      <c r="J29" s="89">
        <v>0</v>
      </c>
      <c r="K29" s="87">
        <v>0</v>
      </c>
      <c r="L29" s="88">
        <v>0</v>
      </c>
      <c r="M29" s="89">
        <v>0</v>
      </c>
      <c r="N29" s="87">
        <v>-1380.46</v>
      </c>
      <c r="O29" s="88">
        <v>-54.54</v>
      </c>
      <c r="P29" s="89">
        <v>-20.48</v>
      </c>
      <c r="Q29" s="62">
        <f t="shared" si="25"/>
        <v>19200.170005</v>
      </c>
      <c r="R29" s="63">
        <f t="shared" si="0"/>
        <v>53.98</v>
      </c>
      <c r="S29" s="64">
        <f t="shared" si="0"/>
        <v>366.33</v>
      </c>
      <c r="T29" s="62">
        <f t="shared" si="26"/>
        <v>19200.170005</v>
      </c>
      <c r="U29" s="63">
        <f t="shared" si="1"/>
        <v>53.98</v>
      </c>
      <c r="V29" s="64">
        <f t="shared" si="1"/>
        <v>366.33</v>
      </c>
      <c r="W29" s="62">
        <f t="shared" si="27"/>
        <v>0</v>
      </c>
      <c r="X29" s="63">
        <f t="shared" si="2"/>
        <v>0</v>
      </c>
      <c r="Y29" s="64">
        <f t="shared" si="2"/>
        <v>0</v>
      </c>
      <c r="Z29" s="90">
        <v>1315.1794220000002</v>
      </c>
      <c r="AA29" s="90">
        <v>54.356468</v>
      </c>
      <c r="AB29" s="90">
        <v>19.234477999999999</v>
      </c>
      <c r="AC29" s="92">
        <v>0</v>
      </c>
      <c r="AD29" s="92">
        <v>0</v>
      </c>
      <c r="AE29" s="92">
        <v>0</v>
      </c>
      <c r="AF29" s="62">
        <f t="shared" si="28"/>
        <v>20515.349427000001</v>
      </c>
      <c r="AG29" s="63">
        <f t="shared" si="3"/>
        <v>108.336468</v>
      </c>
      <c r="AH29" s="64">
        <f t="shared" si="3"/>
        <v>385.56447800000001</v>
      </c>
      <c r="AI29" s="94">
        <f t="shared" si="29"/>
        <v>20098.716477333332</v>
      </c>
      <c r="AJ29" s="95">
        <f t="shared" si="4"/>
        <v>90.278822666666656</v>
      </c>
      <c r="AK29" s="96">
        <f t="shared" si="4"/>
        <v>379.56815933333337</v>
      </c>
      <c r="AL29" s="97">
        <v>105.44</v>
      </c>
      <c r="AM29" s="98"/>
      <c r="AN29" s="98">
        <v>54.74</v>
      </c>
      <c r="AO29" s="99">
        <v>0</v>
      </c>
      <c r="AP29" s="62">
        <f t="shared" si="30"/>
        <v>19938.536477333331</v>
      </c>
      <c r="AQ29" s="63">
        <f t="shared" si="30"/>
        <v>90.278822666666656</v>
      </c>
      <c r="AR29" s="63">
        <f t="shared" si="31"/>
        <v>379.56815933333337</v>
      </c>
      <c r="AS29" s="64">
        <f t="shared" si="5"/>
        <v>385.56447800000001</v>
      </c>
      <c r="AT29" s="62">
        <f t="shared" si="6"/>
        <v>20515.349427000001</v>
      </c>
      <c r="AU29" s="62">
        <f t="shared" si="7"/>
        <v>108.336468</v>
      </c>
      <c r="AV29" s="100">
        <f t="shared" si="8"/>
        <v>385.56447800000001</v>
      </c>
      <c r="AW29" s="62">
        <f t="shared" si="9"/>
        <v>0</v>
      </c>
      <c r="AX29" s="63">
        <f t="shared" si="10"/>
        <v>0</v>
      </c>
      <c r="AY29" s="64">
        <f t="shared" si="11"/>
        <v>0</v>
      </c>
      <c r="AZ29" s="110">
        <f>+AC29</f>
        <v>0</v>
      </c>
      <c r="BA29" s="111">
        <f>+AD29</f>
        <v>0</v>
      </c>
      <c r="BB29" s="112">
        <f>+AE29</f>
        <v>0</v>
      </c>
      <c r="BC29" s="87">
        <v>-69.7521880348</v>
      </c>
      <c r="BD29" s="88">
        <v>-0.36834399119999994</v>
      </c>
      <c r="BE29" s="89">
        <v>-1.3109192251999999</v>
      </c>
      <c r="BF29" s="62">
        <f t="shared" si="32"/>
        <v>20445.597238965202</v>
      </c>
      <c r="BG29" s="63">
        <f t="shared" si="12"/>
        <v>107.96812400879999</v>
      </c>
      <c r="BH29" s="64">
        <f t="shared" si="12"/>
        <v>384.25355877480001</v>
      </c>
      <c r="BI29" s="94">
        <f t="shared" si="13"/>
        <v>20053.7055569884</v>
      </c>
      <c r="BJ29" s="95">
        <f t="shared" si="14"/>
        <v>90.094864002933321</v>
      </c>
      <c r="BK29" s="96">
        <f t="shared" si="15"/>
        <v>378.71601225826663</v>
      </c>
      <c r="BL29" s="87">
        <v>105.44</v>
      </c>
      <c r="BM29" s="88"/>
      <c r="BN29" s="88">
        <v>54.74</v>
      </c>
      <c r="BO29" s="89">
        <v>0</v>
      </c>
      <c r="BP29" s="62">
        <f t="shared" si="33"/>
        <v>19893.525556988399</v>
      </c>
      <c r="BQ29" s="63">
        <f t="shared" si="16"/>
        <v>90.094864002933321</v>
      </c>
      <c r="BR29" s="64">
        <f t="shared" si="34"/>
        <v>378.71601225826663</v>
      </c>
      <c r="BS29" s="62">
        <f t="shared" si="17"/>
        <v>20445.597238965202</v>
      </c>
      <c r="BT29" s="62">
        <f t="shared" si="17"/>
        <v>107.96812400879999</v>
      </c>
      <c r="BU29" s="100">
        <f t="shared" si="17"/>
        <v>384.25355877480001</v>
      </c>
      <c r="BV29" s="62">
        <f t="shared" si="35"/>
        <v>0</v>
      </c>
      <c r="BW29" s="63">
        <f t="shared" si="35"/>
        <v>0</v>
      </c>
      <c r="BX29" s="64">
        <f t="shared" si="35"/>
        <v>0</v>
      </c>
      <c r="BY29" s="62">
        <f t="shared" si="35"/>
        <v>0</v>
      </c>
      <c r="BZ29" s="62">
        <f t="shared" si="19"/>
        <v>0</v>
      </c>
      <c r="CA29" s="100">
        <f t="shared" si="19"/>
        <v>0</v>
      </c>
      <c r="CB29" s="101">
        <f>-(BS29*0.0034)</f>
        <v>-69.515030612481681</v>
      </c>
      <c r="CC29" s="101">
        <f>-(BT29*0.0034)</f>
        <v>-0.36709162162991993</v>
      </c>
      <c r="CD29" s="102">
        <f>-(BU29*0.0034)</f>
        <v>-1.3064620998343199</v>
      </c>
      <c r="CE29" s="62">
        <f t="shared" si="36"/>
        <v>20376.08220835272</v>
      </c>
      <c r="CF29" s="63">
        <f t="shared" si="20"/>
        <v>107.60103238717006</v>
      </c>
      <c r="CG29" s="64">
        <f t="shared" si="20"/>
        <v>382.94709667496568</v>
      </c>
      <c r="CH29" s="94">
        <f t="shared" si="21"/>
        <v>20176.168080891483</v>
      </c>
      <c r="CI29" s="95">
        <f t="shared" si="22"/>
        <v>95.991573018923347</v>
      </c>
      <c r="CJ29" s="96">
        <f t="shared" si="23"/>
        <v>380.41042275552189</v>
      </c>
      <c r="CK29" s="87">
        <v>105.44</v>
      </c>
      <c r="CL29" s="88"/>
      <c r="CM29" s="88">
        <v>54.74</v>
      </c>
      <c r="CN29" s="89">
        <v>0</v>
      </c>
      <c r="CO29" s="62">
        <f t="shared" si="37"/>
        <v>20015.988080891482</v>
      </c>
      <c r="CP29" s="63">
        <f t="shared" si="24"/>
        <v>95.991573018923347</v>
      </c>
      <c r="CQ29" s="64">
        <f t="shared" si="38"/>
        <v>380.41042275552189</v>
      </c>
    </row>
    <row r="30" spans="1:95" ht="14.5" x14ac:dyDescent="0.35">
      <c r="A30" s="61" t="s">
        <v>395</v>
      </c>
      <c r="B30" s="87">
        <v>101341.45</v>
      </c>
      <c r="C30" s="88">
        <v>2226.65</v>
      </c>
      <c r="D30" s="89">
        <v>4423.7</v>
      </c>
      <c r="E30" s="87">
        <v>101341.45</v>
      </c>
      <c r="F30" s="88">
        <v>2226.65</v>
      </c>
      <c r="G30" s="89">
        <v>4423.7</v>
      </c>
      <c r="H30" s="87">
        <v>0</v>
      </c>
      <c r="I30" s="88">
        <v>0</v>
      </c>
      <c r="J30" s="89">
        <v>0</v>
      </c>
      <c r="K30" s="87">
        <v>0</v>
      </c>
      <c r="L30" s="88">
        <v>0</v>
      </c>
      <c r="M30" s="89">
        <v>0</v>
      </c>
      <c r="N30" s="87">
        <v>-0.06</v>
      </c>
      <c r="O30" s="88">
        <v>0</v>
      </c>
      <c r="P30" s="89">
        <v>0</v>
      </c>
      <c r="Q30" s="62">
        <f t="shared" si="25"/>
        <v>101341.39</v>
      </c>
      <c r="R30" s="63">
        <f t="shared" si="0"/>
        <v>2226.65</v>
      </c>
      <c r="S30" s="64">
        <f t="shared" si="0"/>
        <v>4423.7</v>
      </c>
      <c r="T30" s="62">
        <f t="shared" si="26"/>
        <v>101341.39</v>
      </c>
      <c r="U30" s="63">
        <f t="shared" si="1"/>
        <v>2226.65</v>
      </c>
      <c r="V30" s="64">
        <f t="shared" si="1"/>
        <v>4423.7</v>
      </c>
      <c r="W30" s="62">
        <f t="shared" si="27"/>
        <v>0</v>
      </c>
      <c r="X30" s="63">
        <f t="shared" si="2"/>
        <v>0</v>
      </c>
      <c r="Y30" s="64">
        <f t="shared" si="2"/>
        <v>0</v>
      </c>
      <c r="Z30" s="103">
        <v>0</v>
      </c>
      <c r="AA30" s="103">
        <v>0</v>
      </c>
      <c r="AB30" s="103">
        <v>0</v>
      </c>
      <c r="AC30" s="104">
        <v>-0.06</v>
      </c>
      <c r="AD30" s="104">
        <v>0</v>
      </c>
      <c r="AE30" s="104">
        <v>0</v>
      </c>
      <c r="AF30" s="62">
        <f t="shared" si="28"/>
        <v>101341.33</v>
      </c>
      <c r="AG30" s="63">
        <f t="shared" si="3"/>
        <v>2226.65</v>
      </c>
      <c r="AH30" s="64">
        <f t="shared" si="3"/>
        <v>4423.7</v>
      </c>
      <c r="AI30" s="94">
        <f t="shared" si="29"/>
        <v>101341.39</v>
      </c>
      <c r="AJ30" s="95">
        <f t="shared" si="4"/>
        <v>2226.65</v>
      </c>
      <c r="AK30" s="96">
        <f t="shared" si="4"/>
        <v>4423.7</v>
      </c>
      <c r="AL30" s="97">
        <v>5149.3999999999996</v>
      </c>
      <c r="AM30" s="98"/>
      <c r="AN30" s="98"/>
      <c r="AO30" s="99"/>
      <c r="AP30" s="62">
        <f t="shared" si="30"/>
        <v>96191.99</v>
      </c>
      <c r="AQ30" s="63">
        <f t="shared" si="30"/>
        <v>2226.65</v>
      </c>
      <c r="AR30" s="63">
        <f t="shared" si="31"/>
        <v>4423.7</v>
      </c>
      <c r="AS30" s="64">
        <f t="shared" si="5"/>
        <v>4423.7</v>
      </c>
      <c r="AT30" s="62">
        <f t="shared" si="6"/>
        <v>101341.33</v>
      </c>
      <c r="AU30" s="62">
        <f t="shared" si="7"/>
        <v>2226.65</v>
      </c>
      <c r="AV30" s="100">
        <f t="shared" si="8"/>
        <v>4423.7</v>
      </c>
      <c r="AW30" s="62">
        <f t="shared" si="9"/>
        <v>0</v>
      </c>
      <c r="AX30" s="63">
        <f t="shared" si="10"/>
        <v>0</v>
      </c>
      <c r="AY30" s="64">
        <f t="shared" si="11"/>
        <v>0</v>
      </c>
      <c r="AZ30" s="87">
        <v>0</v>
      </c>
      <c r="BA30" s="88">
        <v>0</v>
      </c>
      <c r="BB30" s="89">
        <v>0</v>
      </c>
      <c r="BC30" s="87">
        <v>-0.06</v>
      </c>
      <c r="BD30" s="88">
        <v>0</v>
      </c>
      <c r="BE30" s="89">
        <v>0</v>
      </c>
      <c r="BF30" s="62">
        <f t="shared" si="32"/>
        <v>101341.27</v>
      </c>
      <c r="BG30" s="63">
        <f t="shared" si="12"/>
        <v>2226.65</v>
      </c>
      <c r="BH30" s="64">
        <f t="shared" si="12"/>
        <v>4423.7</v>
      </c>
      <c r="BI30" s="94">
        <f t="shared" si="13"/>
        <v>101341.33</v>
      </c>
      <c r="BJ30" s="95">
        <f t="shared" si="14"/>
        <v>2226.65</v>
      </c>
      <c r="BK30" s="96">
        <f t="shared" si="15"/>
        <v>4423.7</v>
      </c>
      <c r="BL30" s="87">
        <v>5149.3999999999996</v>
      </c>
      <c r="BM30" s="88"/>
      <c r="BN30" s="88"/>
      <c r="BO30" s="89"/>
      <c r="BP30" s="62">
        <f t="shared" si="33"/>
        <v>96191.930000000008</v>
      </c>
      <c r="BQ30" s="63">
        <f t="shared" si="16"/>
        <v>2226.65</v>
      </c>
      <c r="BR30" s="64">
        <f t="shared" si="34"/>
        <v>4423.7</v>
      </c>
      <c r="BS30" s="62">
        <f t="shared" si="17"/>
        <v>101341.27</v>
      </c>
      <c r="BT30" s="62">
        <f t="shared" si="17"/>
        <v>2226.65</v>
      </c>
      <c r="BU30" s="100">
        <f t="shared" si="17"/>
        <v>4423.7</v>
      </c>
      <c r="BV30" s="62">
        <f t="shared" si="35"/>
        <v>0</v>
      </c>
      <c r="BW30" s="63">
        <f t="shared" si="35"/>
        <v>0</v>
      </c>
      <c r="BX30" s="64">
        <f t="shared" si="35"/>
        <v>0</v>
      </c>
      <c r="BY30" s="62">
        <f t="shared" si="35"/>
        <v>0</v>
      </c>
      <c r="BZ30" s="62">
        <f t="shared" si="19"/>
        <v>0</v>
      </c>
      <c r="CA30" s="100">
        <f t="shared" si="19"/>
        <v>0</v>
      </c>
      <c r="CB30" s="62">
        <f>+BC30</f>
        <v>-0.06</v>
      </c>
      <c r="CC30" s="62">
        <f>+BD30</f>
        <v>0</v>
      </c>
      <c r="CD30" s="100">
        <f>+BE30</f>
        <v>0</v>
      </c>
      <c r="CE30" s="62">
        <f t="shared" si="36"/>
        <v>101341.21</v>
      </c>
      <c r="CF30" s="63">
        <f t="shared" si="20"/>
        <v>2226.65</v>
      </c>
      <c r="CG30" s="64">
        <f t="shared" si="20"/>
        <v>4423.7</v>
      </c>
      <c r="CH30" s="94">
        <f t="shared" si="21"/>
        <v>101341.31</v>
      </c>
      <c r="CI30" s="95">
        <f t="shared" si="22"/>
        <v>2226.65</v>
      </c>
      <c r="CJ30" s="96">
        <f t="shared" si="23"/>
        <v>4423.7</v>
      </c>
      <c r="CK30" s="87">
        <v>5149.3999999999996</v>
      </c>
      <c r="CL30" s="88"/>
      <c r="CM30" s="88"/>
      <c r="CN30" s="89"/>
      <c r="CO30" s="62">
        <f t="shared" si="37"/>
        <v>96191.91</v>
      </c>
      <c r="CP30" s="63">
        <f t="shared" si="24"/>
        <v>2226.65</v>
      </c>
      <c r="CQ30" s="64">
        <f t="shared" si="38"/>
        <v>4423.7</v>
      </c>
    </row>
    <row r="31" spans="1:95" ht="14.5" x14ac:dyDescent="0.35">
      <c r="A31" s="61" t="s">
        <v>396</v>
      </c>
      <c r="B31" s="87">
        <v>52402.09</v>
      </c>
      <c r="C31" s="88">
        <v>237.67</v>
      </c>
      <c r="D31" s="89">
        <v>0</v>
      </c>
      <c r="E31" s="87">
        <v>52402.089926000001</v>
      </c>
      <c r="F31" s="88">
        <v>237.67</v>
      </c>
      <c r="G31" s="89">
        <v>0</v>
      </c>
      <c r="H31" s="87">
        <v>0</v>
      </c>
      <c r="I31" s="88">
        <v>0</v>
      </c>
      <c r="J31" s="89">
        <v>0</v>
      </c>
      <c r="K31" s="87">
        <v>0</v>
      </c>
      <c r="L31" s="88">
        <v>0</v>
      </c>
      <c r="M31" s="89">
        <v>0</v>
      </c>
      <c r="N31" s="87">
        <v>-8478.32</v>
      </c>
      <c r="O31" s="88">
        <v>-43.31</v>
      </c>
      <c r="P31" s="89">
        <v>0</v>
      </c>
      <c r="Q31" s="62">
        <f t="shared" si="25"/>
        <v>43923.769926000001</v>
      </c>
      <c r="R31" s="63">
        <f t="shared" si="0"/>
        <v>194.35999999999999</v>
      </c>
      <c r="S31" s="64">
        <f t="shared" si="0"/>
        <v>0</v>
      </c>
      <c r="T31" s="62">
        <f t="shared" si="26"/>
        <v>43923.769926000001</v>
      </c>
      <c r="U31" s="63">
        <f t="shared" si="1"/>
        <v>194.35999999999999</v>
      </c>
      <c r="V31" s="64">
        <f t="shared" si="1"/>
        <v>0</v>
      </c>
      <c r="W31" s="62">
        <f t="shared" si="27"/>
        <v>0</v>
      </c>
      <c r="X31" s="63">
        <f t="shared" si="2"/>
        <v>0</v>
      </c>
      <c r="Y31" s="64">
        <f t="shared" si="2"/>
        <v>0</v>
      </c>
      <c r="Z31" s="90">
        <v>8328.9791819999991</v>
      </c>
      <c r="AA31" s="90">
        <v>42.649176000000004</v>
      </c>
      <c r="AB31" s="90">
        <v>0</v>
      </c>
      <c r="AC31" s="92">
        <v>0</v>
      </c>
      <c r="AD31" s="92">
        <v>0</v>
      </c>
      <c r="AE31" s="92">
        <v>0</v>
      </c>
      <c r="AF31" s="62">
        <f t="shared" si="28"/>
        <v>52252.749108000004</v>
      </c>
      <c r="AG31" s="63">
        <f t="shared" si="3"/>
        <v>237.009176</v>
      </c>
      <c r="AH31" s="64">
        <f t="shared" si="3"/>
        <v>0</v>
      </c>
      <c r="AI31" s="94">
        <f t="shared" si="29"/>
        <v>49526.203011333339</v>
      </c>
      <c r="AJ31" s="95">
        <f t="shared" si="4"/>
        <v>223.01305866666667</v>
      </c>
      <c r="AK31" s="96">
        <f t="shared" si="4"/>
        <v>0</v>
      </c>
      <c r="AL31" s="97">
        <v>358.34</v>
      </c>
      <c r="AM31" s="98"/>
      <c r="AN31" s="98"/>
      <c r="AO31" s="99"/>
      <c r="AP31" s="62">
        <f t="shared" si="30"/>
        <v>49167.863011333342</v>
      </c>
      <c r="AQ31" s="63">
        <f t="shared" si="30"/>
        <v>223.01305866666667</v>
      </c>
      <c r="AR31" s="63">
        <f t="shared" si="31"/>
        <v>0</v>
      </c>
      <c r="AS31" s="64">
        <f t="shared" si="5"/>
        <v>0</v>
      </c>
      <c r="AT31" s="62">
        <f t="shared" si="6"/>
        <v>52252.749108000004</v>
      </c>
      <c r="AU31" s="62">
        <f t="shared" si="7"/>
        <v>237.009176</v>
      </c>
      <c r="AV31" s="100">
        <f t="shared" si="8"/>
        <v>0</v>
      </c>
      <c r="AW31" s="62">
        <f t="shared" si="9"/>
        <v>0</v>
      </c>
      <c r="AX31" s="63">
        <f t="shared" si="10"/>
        <v>0</v>
      </c>
      <c r="AY31" s="64">
        <f t="shared" si="11"/>
        <v>0</v>
      </c>
      <c r="AZ31" s="110">
        <f>+AC31</f>
        <v>0</v>
      </c>
      <c r="BA31" s="111">
        <f>+AD31</f>
        <v>0</v>
      </c>
      <c r="BB31" s="112">
        <f>+AE31</f>
        <v>0</v>
      </c>
      <c r="BC31" s="87">
        <v>-177.65934721879998</v>
      </c>
      <c r="BD31" s="88">
        <v>-0.80583119840000006</v>
      </c>
      <c r="BE31" s="89">
        <v>0</v>
      </c>
      <c r="BF31" s="62">
        <f t="shared" si="32"/>
        <v>52075.0897607812</v>
      </c>
      <c r="BG31" s="63">
        <f t="shared" si="12"/>
        <v>236.2033448016</v>
      </c>
      <c r="BH31" s="64">
        <f t="shared" si="12"/>
        <v>0</v>
      </c>
      <c r="BI31" s="94">
        <f t="shared" si="13"/>
        <v>49417.202931593733</v>
      </c>
      <c r="BJ31" s="95">
        <f t="shared" si="14"/>
        <v>222.52417360053332</v>
      </c>
      <c r="BK31" s="96">
        <f t="shared" si="15"/>
        <v>0</v>
      </c>
      <c r="BL31" s="87">
        <v>358.34</v>
      </c>
      <c r="BM31" s="88"/>
      <c r="BN31" s="88"/>
      <c r="BO31" s="89"/>
      <c r="BP31" s="62">
        <f t="shared" si="33"/>
        <v>49058.862931593736</v>
      </c>
      <c r="BQ31" s="63">
        <f t="shared" si="16"/>
        <v>222.52417360053332</v>
      </c>
      <c r="BR31" s="64">
        <f t="shared" si="34"/>
        <v>0</v>
      </c>
      <c r="BS31" s="62">
        <f t="shared" si="17"/>
        <v>52075.0897607812</v>
      </c>
      <c r="BT31" s="62">
        <f t="shared" si="17"/>
        <v>236.2033448016</v>
      </c>
      <c r="BU31" s="100">
        <f t="shared" si="17"/>
        <v>0</v>
      </c>
      <c r="BV31" s="62">
        <f t="shared" si="35"/>
        <v>0</v>
      </c>
      <c r="BW31" s="63">
        <f t="shared" si="35"/>
        <v>0</v>
      </c>
      <c r="BX31" s="64">
        <f t="shared" si="35"/>
        <v>0</v>
      </c>
      <c r="BY31" s="62">
        <f t="shared" si="35"/>
        <v>0</v>
      </c>
      <c r="BZ31" s="62">
        <f t="shared" si="19"/>
        <v>0</v>
      </c>
      <c r="CA31" s="100">
        <f t="shared" si="19"/>
        <v>0</v>
      </c>
      <c r="CB31" s="101">
        <f>-(BS31*0.0034)</f>
        <v>-177.05530518665608</v>
      </c>
      <c r="CC31" s="101">
        <f>-(BT31*0.0034)</f>
        <v>-0.80309137232543992</v>
      </c>
      <c r="CD31" s="102">
        <f>-(BU31*0.0034)</f>
        <v>0</v>
      </c>
      <c r="CE31" s="62">
        <f t="shared" si="36"/>
        <v>51898.034455594541</v>
      </c>
      <c r="CF31" s="63">
        <f t="shared" si="20"/>
        <v>235.40025342927456</v>
      </c>
      <c r="CG31" s="64">
        <f t="shared" si="20"/>
        <v>0</v>
      </c>
      <c r="CH31" s="94">
        <f t="shared" si="21"/>
        <v>50280.480132840537</v>
      </c>
      <c r="CI31" s="95">
        <f t="shared" si="22"/>
        <v>226.97916189882486</v>
      </c>
      <c r="CJ31" s="96">
        <f t="shared" si="23"/>
        <v>0</v>
      </c>
      <c r="CK31" s="87">
        <v>358.34</v>
      </c>
      <c r="CL31" s="88"/>
      <c r="CM31" s="88"/>
      <c r="CN31" s="89"/>
      <c r="CO31" s="62">
        <f t="shared" si="37"/>
        <v>49922.140132840541</v>
      </c>
      <c r="CP31" s="63">
        <f t="shared" si="24"/>
        <v>226.97916189882486</v>
      </c>
      <c r="CQ31" s="64">
        <f t="shared" si="38"/>
        <v>0</v>
      </c>
    </row>
    <row r="32" spans="1:95" ht="14.5" x14ac:dyDescent="0.35">
      <c r="A32" s="61" t="s">
        <v>397</v>
      </c>
      <c r="B32" s="87">
        <v>3452.66</v>
      </c>
      <c r="C32" s="88">
        <v>270.67</v>
      </c>
      <c r="D32" s="89">
        <v>0</v>
      </c>
      <c r="E32" s="87">
        <v>3452.6599999999994</v>
      </c>
      <c r="F32" s="88">
        <v>270.67</v>
      </c>
      <c r="G32" s="89">
        <v>0</v>
      </c>
      <c r="H32" s="87">
        <v>0</v>
      </c>
      <c r="I32" s="88">
        <v>0</v>
      </c>
      <c r="J32" s="89">
        <v>0</v>
      </c>
      <c r="K32" s="87">
        <v>0</v>
      </c>
      <c r="L32" s="88">
        <v>0</v>
      </c>
      <c r="M32" s="89">
        <v>0</v>
      </c>
      <c r="N32" s="87">
        <v>-368.8</v>
      </c>
      <c r="O32" s="88">
        <v>-38.869999999999997</v>
      </c>
      <c r="P32" s="89">
        <v>0</v>
      </c>
      <c r="Q32" s="62">
        <f t="shared" si="25"/>
        <v>3083.8599999999992</v>
      </c>
      <c r="R32" s="63">
        <f t="shared" si="0"/>
        <v>231.8</v>
      </c>
      <c r="S32" s="64">
        <f t="shared" si="0"/>
        <v>0</v>
      </c>
      <c r="T32" s="62">
        <f t="shared" si="26"/>
        <v>3083.8599999999992</v>
      </c>
      <c r="U32" s="63">
        <f t="shared" si="1"/>
        <v>231.8</v>
      </c>
      <c r="V32" s="64">
        <f t="shared" si="1"/>
        <v>0</v>
      </c>
      <c r="W32" s="62">
        <f t="shared" si="27"/>
        <v>0</v>
      </c>
      <c r="X32" s="63">
        <f t="shared" si="2"/>
        <v>0</v>
      </c>
      <c r="Y32" s="64">
        <f t="shared" si="2"/>
        <v>0</v>
      </c>
      <c r="Z32" s="103">
        <v>0</v>
      </c>
      <c r="AA32" s="103">
        <v>0</v>
      </c>
      <c r="AB32" s="103">
        <v>0</v>
      </c>
      <c r="AC32" s="109">
        <v>-73.760000000000005</v>
      </c>
      <c r="AD32" s="109">
        <v>-7.774</v>
      </c>
      <c r="AE32" s="109">
        <v>0</v>
      </c>
      <c r="AF32" s="62">
        <f t="shared" si="28"/>
        <v>3010.099999999999</v>
      </c>
      <c r="AG32" s="63">
        <f t="shared" si="3"/>
        <v>224.02600000000001</v>
      </c>
      <c r="AH32" s="64">
        <f t="shared" si="3"/>
        <v>0</v>
      </c>
      <c r="AI32" s="94">
        <f t="shared" si="29"/>
        <v>3182.2066666666656</v>
      </c>
      <c r="AJ32" s="95">
        <f t="shared" si="4"/>
        <v>242.16533333333336</v>
      </c>
      <c r="AK32" s="96">
        <f t="shared" si="4"/>
        <v>0</v>
      </c>
      <c r="AL32" s="97">
        <v>154.85</v>
      </c>
      <c r="AM32" s="98"/>
      <c r="AN32" s="98"/>
      <c r="AO32" s="99"/>
      <c r="AP32" s="62">
        <f t="shared" si="30"/>
        <v>3027.3566666666657</v>
      </c>
      <c r="AQ32" s="63">
        <f t="shared" si="30"/>
        <v>242.16533333333336</v>
      </c>
      <c r="AR32" s="63">
        <f t="shared" si="31"/>
        <v>0</v>
      </c>
      <c r="AS32" s="64">
        <f t="shared" si="5"/>
        <v>0</v>
      </c>
      <c r="AT32" s="62">
        <f t="shared" si="6"/>
        <v>3010.099999999999</v>
      </c>
      <c r="AU32" s="62">
        <f t="shared" si="7"/>
        <v>224.02600000000001</v>
      </c>
      <c r="AV32" s="100">
        <f t="shared" si="8"/>
        <v>0</v>
      </c>
      <c r="AW32" s="62">
        <f t="shared" si="9"/>
        <v>0</v>
      </c>
      <c r="AX32" s="63">
        <f t="shared" si="10"/>
        <v>0</v>
      </c>
      <c r="AY32" s="64">
        <f t="shared" si="11"/>
        <v>0</v>
      </c>
      <c r="AZ32" s="87">
        <v>0</v>
      </c>
      <c r="BA32" s="88">
        <v>0</v>
      </c>
      <c r="BB32" s="89">
        <v>0</v>
      </c>
      <c r="BC32" s="87">
        <v>-73.760000000000005</v>
      </c>
      <c r="BD32" s="88">
        <v>-7.774</v>
      </c>
      <c r="BE32" s="89">
        <v>0</v>
      </c>
      <c r="BF32" s="62">
        <f t="shared" si="32"/>
        <v>2936.3399999999988</v>
      </c>
      <c r="BG32" s="63">
        <f t="shared" si="12"/>
        <v>216.25200000000001</v>
      </c>
      <c r="BH32" s="64">
        <f t="shared" si="12"/>
        <v>0</v>
      </c>
      <c r="BI32" s="94">
        <f t="shared" si="13"/>
        <v>3010.099999999999</v>
      </c>
      <c r="BJ32" s="95">
        <f t="shared" si="14"/>
        <v>224.02599999999998</v>
      </c>
      <c r="BK32" s="96">
        <f t="shared" si="15"/>
        <v>0</v>
      </c>
      <c r="BL32" s="87">
        <v>154.85</v>
      </c>
      <c r="BM32" s="88"/>
      <c r="BN32" s="88"/>
      <c r="BO32" s="89"/>
      <c r="BP32" s="62">
        <f t="shared" si="33"/>
        <v>2855.2499999999991</v>
      </c>
      <c r="BQ32" s="63">
        <f t="shared" si="16"/>
        <v>224.02599999999998</v>
      </c>
      <c r="BR32" s="64">
        <f t="shared" si="34"/>
        <v>0</v>
      </c>
      <c r="BS32" s="62">
        <f t="shared" si="17"/>
        <v>2936.3399999999988</v>
      </c>
      <c r="BT32" s="62">
        <f t="shared" si="17"/>
        <v>216.25200000000001</v>
      </c>
      <c r="BU32" s="100">
        <f t="shared" si="17"/>
        <v>0</v>
      </c>
      <c r="BV32" s="62">
        <f t="shared" si="35"/>
        <v>0</v>
      </c>
      <c r="BW32" s="63">
        <f t="shared" si="35"/>
        <v>0</v>
      </c>
      <c r="BX32" s="64">
        <f t="shared" si="35"/>
        <v>0</v>
      </c>
      <c r="BY32" s="62">
        <f t="shared" si="35"/>
        <v>0</v>
      </c>
      <c r="BZ32" s="62">
        <f t="shared" si="19"/>
        <v>0</v>
      </c>
      <c r="CA32" s="100">
        <f t="shared" si="19"/>
        <v>0</v>
      </c>
      <c r="CB32" s="62">
        <f>+BC32</f>
        <v>-73.760000000000005</v>
      </c>
      <c r="CC32" s="62">
        <f>+BD32</f>
        <v>-7.774</v>
      </c>
      <c r="CD32" s="100">
        <f>+BE32</f>
        <v>0</v>
      </c>
      <c r="CE32" s="62">
        <f t="shared" si="36"/>
        <v>2862.5799999999986</v>
      </c>
      <c r="CF32" s="63">
        <f t="shared" si="20"/>
        <v>208.47800000000001</v>
      </c>
      <c r="CG32" s="64">
        <f t="shared" si="20"/>
        <v>0</v>
      </c>
      <c r="CH32" s="94">
        <f t="shared" si="21"/>
        <v>3018.2955555555545</v>
      </c>
      <c r="CI32" s="95">
        <f t="shared" si="22"/>
        <v>224.88977777777777</v>
      </c>
      <c r="CJ32" s="96">
        <f t="shared" si="23"/>
        <v>0</v>
      </c>
      <c r="CK32" s="87">
        <v>154.85</v>
      </c>
      <c r="CL32" s="88"/>
      <c r="CM32" s="88"/>
      <c r="CN32" s="89"/>
      <c r="CO32" s="62">
        <f t="shared" si="37"/>
        <v>2863.4455555555546</v>
      </c>
      <c r="CP32" s="63">
        <f t="shared" si="24"/>
        <v>224.88977777777777</v>
      </c>
      <c r="CQ32" s="64">
        <f t="shared" si="38"/>
        <v>0</v>
      </c>
    </row>
    <row r="33" spans="1:95" ht="14.5" x14ac:dyDescent="0.35">
      <c r="A33" s="61" t="s">
        <v>398</v>
      </c>
      <c r="B33" s="87">
        <v>2983.31</v>
      </c>
      <c r="C33" s="88">
        <v>42.12</v>
      </c>
      <c r="D33" s="89">
        <v>39.6</v>
      </c>
      <c r="E33" s="87">
        <v>2983.3100019999997</v>
      </c>
      <c r="F33" s="88">
        <v>42.120000000000005</v>
      </c>
      <c r="G33" s="89">
        <v>39.6</v>
      </c>
      <c r="H33" s="87">
        <v>0</v>
      </c>
      <c r="I33" s="88">
        <v>0</v>
      </c>
      <c r="J33" s="89">
        <v>0</v>
      </c>
      <c r="K33" s="87">
        <v>0</v>
      </c>
      <c r="L33" s="88">
        <v>0</v>
      </c>
      <c r="M33" s="89">
        <v>0</v>
      </c>
      <c r="N33" s="87">
        <v>-645.22</v>
      </c>
      <c r="O33" s="88">
        <v>-1.24</v>
      </c>
      <c r="P33" s="89">
        <v>-0.12</v>
      </c>
      <c r="Q33" s="62">
        <f t="shared" si="25"/>
        <v>2338.0900019999999</v>
      </c>
      <c r="R33" s="63">
        <f t="shared" si="0"/>
        <v>40.880000000000003</v>
      </c>
      <c r="S33" s="64">
        <f t="shared" si="0"/>
        <v>39.480000000000004</v>
      </c>
      <c r="T33" s="62">
        <f t="shared" si="26"/>
        <v>2338.0900019999999</v>
      </c>
      <c r="U33" s="63">
        <f t="shared" si="1"/>
        <v>40.880000000000003</v>
      </c>
      <c r="V33" s="64">
        <f t="shared" si="1"/>
        <v>39.480000000000004</v>
      </c>
      <c r="W33" s="62">
        <f t="shared" si="27"/>
        <v>0</v>
      </c>
      <c r="X33" s="63">
        <f t="shared" si="2"/>
        <v>0</v>
      </c>
      <c r="Y33" s="64">
        <f t="shared" si="2"/>
        <v>0</v>
      </c>
      <c r="Z33" s="90">
        <v>637.27049399999999</v>
      </c>
      <c r="AA33" s="90">
        <v>1.101008</v>
      </c>
      <c r="AB33" s="90">
        <v>-1.4231999999999995E-2</v>
      </c>
      <c r="AC33" s="92">
        <v>0</v>
      </c>
      <c r="AD33" s="92">
        <v>0</v>
      </c>
      <c r="AE33" s="92">
        <v>0</v>
      </c>
      <c r="AF33" s="62">
        <f t="shared" si="28"/>
        <v>2975.3604959999998</v>
      </c>
      <c r="AG33" s="63">
        <f t="shared" si="3"/>
        <v>41.981008000000003</v>
      </c>
      <c r="AH33" s="64">
        <f t="shared" si="3"/>
        <v>39.465768000000004</v>
      </c>
      <c r="AI33" s="94">
        <f t="shared" si="29"/>
        <v>2765.5868326666664</v>
      </c>
      <c r="AJ33" s="95">
        <f t="shared" si="4"/>
        <v>41.660336000000001</v>
      </c>
      <c r="AK33" s="96">
        <f t="shared" si="4"/>
        <v>39.515256000000001</v>
      </c>
      <c r="AL33" s="97">
        <v>398.58</v>
      </c>
      <c r="AM33" s="98"/>
      <c r="AN33" s="98"/>
      <c r="AO33" s="99"/>
      <c r="AP33" s="62">
        <f t="shared" si="30"/>
        <v>2367.0068326666665</v>
      </c>
      <c r="AQ33" s="63">
        <f t="shared" si="30"/>
        <v>41.660336000000001</v>
      </c>
      <c r="AR33" s="63">
        <f t="shared" si="31"/>
        <v>39.515256000000001</v>
      </c>
      <c r="AS33" s="64">
        <f t="shared" si="5"/>
        <v>39.465768000000004</v>
      </c>
      <c r="AT33" s="62">
        <f t="shared" si="6"/>
        <v>2975.3604959999998</v>
      </c>
      <c r="AU33" s="62">
        <f t="shared" si="7"/>
        <v>41.981008000000003</v>
      </c>
      <c r="AV33" s="100">
        <f t="shared" si="8"/>
        <v>39.465768000000004</v>
      </c>
      <c r="AW33" s="62">
        <f t="shared" si="9"/>
        <v>0</v>
      </c>
      <c r="AX33" s="63">
        <f t="shared" si="10"/>
        <v>0</v>
      </c>
      <c r="AY33" s="64">
        <f t="shared" si="11"/>
        <v>0</v>
      </c>
      <c r="AZ33" s="110">
        <f t="shared" ref="AZ33:BB34" si="45">+AC33</f>
        <v>0</v>
      </c>
      <c r="BA33" s="111">
        <f t="shared" si="45"/>
        <v>0</v>
      </c>
      <c r="BB33" s="112">
        <f t="shared" si="45"/>
        <v>0</v>
      </c>
      <c r="BC33" s="87">
        <v>-10.116225679599999</v>
      </c>
      <c r="BD33" s="88">
        <v>-0.14273542720000001</v>
      </c>
      <c r="BE33" s="89">
        <v>-0.13418361119999997</v>
      </c>
      <c r="BF33" s="62">
        <f t="shared" si="32"/>
        <v>2965.2442703203997</v>
      </c>
      <c r="BG33" s="63">
        <f t="shared" si="12"/>
        <v>41.838272572800001</v>
      </c>
      <c r="BH33" s="64">
        <f t="shared" si="12"/>
        <v>39.331584388800003</v>
      </c>
      <c r="BI33" s="94">
        <f t="shared" si="13"/>
        <v>2759.5649227734666</v>
      </c>
      <c r="BJ33" s="95">
        <f t="shared" si="14"/>
        <v>41.5664268576</v>
      </c>
      <c r="BK33" s="96">
        <f t="shared" si="15"/>
        <v>39.425784129600004</v>
      </c>
      <c r="BL33" s="87">
        <v>398.58</v>
      </c>
      <c r="BM33" s="88"/>
      <c r="BN33" s="88"/>
      <c r="BO33" s="89"/>
      <c r="BP33" s="62">
        <f t="shared" si="33"/>
        <v>2360.9849227734667</v>
      </c>
      <c r="BQ33" s="63">
        <f t="shared" si="16"/>
        <v>41.5664268576</v>
      </c>
      <c r="BR33" s="64">
        <f t="shared" si="34"/>
        <v>39.425784129600004</v>
      </c>
      <c r="BS33" s="62">
        <f t="shared" si="17"/>
        <v>2965.2442703203997</v>
      </c>
      <c r="BT33" s="62">
        <f t="shared" si="17"/>
        <v>41.838272572800001</v>
      </c>
      <c r="BU33" s="100">
        <f t="shared" si="17"/>
        <v>39.331584388800003</v>
      </c>
      <c r="BV33" s="62">
        <f t="shared" si="35"/>
        <v>0</v>
      </c>
      <c r="BW33" s="63">
        <f t="shared" si="35"/>
        <v>0</v>
      </c>
      <c r="BX33" s="64">
        <f t="shared" si="35"/>
        <v>0</v>
      </c>
      <c r="BY33" s="62">
        <f t="shared" si="35"/>
        <v>0</v>
      </c>
      <c r="BZ33" s="62">
        <f t="shared" si="19"/>
        <v>0</v>
      </c>
      <c r="CA33" s="100">
        <f t="shared" si="19"/>
        <v>0</v>
      </c>
      <c r="CB33" s="101">
        <f t="shared" ref="CB33:CD34" si="46">-(BS33*0.0034)</f>
        <v>-10.081830519089358</v>
      </c>
      <c r="CC33" s="101">
        <f t="shared" si="46"/>
        <v>-0.14225012674751999</v>
      </c>
      <c r="CD33" s="102">
        <f t="shared" si="46"/>
        <v>-0.13372738692192002</v>
      </c>
      <c r="CE33" s="62">
        <f t="shared" si="36"/>
        <v>2955.1624398013105</v>
      </c>
      <c r="CF33" s="63">
        <f t="shared" si="20"/>
        <v>41.696022446052481</v>
      </c>
      <c r="CG33" s="64">
        <f t="shared" si="20"/>
        <v>39.197857001878084</v>
      </c>
      <c r="CH33" s="94">
        <f t="shared" si="21"/>
        <v>2826.771398413814</v>
      </c>
      <c r="CI33" s="95">
        <f t="shared" si="22"/>
        <v>41.640928434550823</v>
      </c>
      <c r="CJ33" s="96">
        <f t="shared" si="23"/>
        <v>39.379632377159361</v>
      </c>
      <c r="CK33" s="87">
        <v>398.58</v>
      </c>
      <c r="CL33" s="88"/>
      <c r="CM33" s="88"/>
      <c r="CN33" s="89"/>
      <c r="CO33" s="62">
        <f t="shared" si="37"/>
        <v>2428.1913984138141</v>
      </c>
      <c r="CP33" s="63">
        <f t="shared" si="24"/>
        <v>41.640928434550823</v>
      </c>
      <c r="CQ33" s="64">
        <f t="shared" si="38"/>
        <v>39.379632377159361</v>
      </c>
    </row>
    <row r="34" spans="1:95" ht="14.5" x14ac:dyDescent="0.35">
      <c r="A34" s="61" t="s">
        <v>399</v>
      </c>
      <c r="B34" s="87">
        <v>8760.98</v>
      </c>
      <c r="C34" s="88">
        <v>228.53</v>
      </c>
      <c r="D34" s="89">
        <v>560.37</v>
      </c>
      <c r="E34" s="87">
        <v>8760.9799640000019</v>
      </c>
      <c r="F34" s="88">
        <v>228.52999999999997</v>
      </c>
      <c r="G34" s="89">
        <v>560.37</v>
      </c>
      <c r="H34" s="87">
        <v>0</v>
      </c>
      <c r="I34" s="88">
        <v>0</v>
      </c>
      <c r="J34" s="89">
        <v>0</v>
      </c>
      <c r="K34" s="87">
        <v>0</v>
      </c>
      <c r="L34" s="88">
        <v>0</v>
      </c>
      <c r="M34" s="89">
        <v>0</v>
      </c>
      <c r="N34" s="87">
        <v>-665.39</v>
      </c>
      <c r="O34" s="88">
        <v>-121.09</v>
      </c>
      <c r="P34" s="89">
        <v>86.47</v>
      </c>
      <c r="Q34" s="62">
        <f t="shared" si="25"/>
        <v>8095.5899640000016</v>
      </c>
      <c r="R34" s="63">
        <f t="shared" si="0"/>
        <v>107.43999999999997</v>
      </c>
      <c r="S34" s="64">
        <f t="shared" si="0"/>
        <v>646.84</v>
      </c>
      <c r="T34" s="62">
        <f t="shared" si="26"/>
        <v>8095.5899640000016</v>
      </c>
      <c r="U34" s="63">
        <f t="shared" si="1"/>
        <v>107.43999999999997</v>
      </c>
      <c r="V34" s="64">
        <f t="shared" si="1"/>
        <v>646.84</v>
      </c>
      <c r="W34" s="62">
        <f t="shared" si="27"/>
        <v>0</v>
      </c>
      <c r="X34" s="63">
        <f t="shared" si="2"/>
        <v>0</v>
      </c>
      <c r="Y34" s="64">
        <f t="shared" si="2"/>
        <v>0</v>
      </c>
      <c r="Z34" s="90">
        <v>637.86499400000002</v>
      </c>
      <c r="AA34" s="90">
        <v>120.724704</v>
      </c>
      <c r="AB34" s="90">
        <v>-88.669256000000004</v>
      </c>
      <c r="AC34" s="92">
        <v>0</v>
      </c>
      <c r="AD34" s="92">
        <v>0</v>
      </c>
      <c r="AE34" s="92">
        <v>0</v>
      </c>
      <c r="AF34" s="62">
        <f t="shared" si="28"/>
        <v>8733.4549580000021</v>
      </c>
      <c r="AG34" s="63">
        <f t="shared" si="3"/>
        <v>228.16470399999997</v>
      </c>
      <c r="AH34" s="64">
        <f t="shared" si="3"/>
        <v>558.17074400000001</v>
      </c>
      <c r="AI34" s="94">
        <f t="shared" si="29"/>
        <v>8530.0083073333353</v>
      </c>
      <c r="AJ34" s="95">
        <f t="shared" si="4"/>
        <v>188.04490133333331</v>
      </c>
      <c r="AK34" s="96">
        <f t="shared" si="4"/>
        <v>588.46024799999998</v>
      </c>
      <c r="AL34" s="97">
        <v>357.36</v>
      </c>
      <c r="AM34" s="98"/>
      <c r="AN34" s="98">
        <v>45.26</v>
      </c>
      <c r="AO34" s="99">
        <v>2.82</v>
      </c>
      <c r="AP34" s="62">
        <f t="shared" si="30"/>
        <v>8127.3883073333354</v>
      </c>
      <c r="AQ34" s="63">
        <f t="shared" si="30"/>
        <v>185.22490133333332</v>
      </c>
      <c r="AR34" s="63">
        <f t="shared" si="31"/>
        <v>588.46024799999998</v>
      </c>
      <c r="AS34" s="64">
        <f t="shared" si="5"/>
        <v>558.17074400000001</v>
      </c>
      <c r="AT34" s="62">
        <f t="shared" si="6"/>
        <v>8733.4549580000021</v>
      </c>
      <c r="AU34" s="62">
        <f t="shared" si="7"/>
        <v>228.16470399999997</v>
      </c>
      <c r="AV34" s="100">
        <f t="shared" si="8"/>
        <v>558.17074400000001</v>
      </c>
      <c r="AW34" s="62">
        <f t="shared" si="9"/>
        <v>0</v>
      </c>
      <c r="AX34" s="63">
        <f t="shared" si="10"/>
        <v>0</v>
      </c>
      <c r="AY34" s="64">
        <f t="shared" si="11"/>
        <v>0</v>
      </c>
      <c r="AZ34" s="110">
        <f t="shared" si="45"/>
        <v>0</v>
      </c>
      <c r="BA34" s="111">
        <f t="shared" si="45"/>
        <v>0</v>
      </c>
      <c r="BB34" s="112">
        <f t="shared" si="45"/>
        <v>0</v>
      </c>
      <c r="BC34" s="87">
        <v>-29.693746979599997</v>
      </c>
      <c r="BD34" s="88">
        <v>-0.77575999359999992</v>
      </c>
      <c r="BE34" s="89">
        <v>-1.8977805295999999</v>
      </c>
      <c r="BF34" s="62">
        <f t="shared" si="32"/>
        <v>8703.7612110204027</v>
      </c>
      <c r="BG34" s="63">
        <f t="shared" si="12"/>
        <v>227.38894400639998</v>
      </c>
      <c r="BH34" s="64">
        <f t="shared" si="12"/>
        <v>556.27296347039999</v>
      </c>
      <c r="BI34" s="94">
        <f t="shared" si="13"/>
        <v>8510.9353776734697</v>
      </c>
      <c r="BJ34" s="95">
        <f t="shared" si="14"/>
        <v>187.66454933546666</v>
      </c>
      <c r="BK34" s="96">
        <f t="shared" si="15"/>
        <v>587.09456915680005</v>
      </c>
      <c r="BL34" s="87">
        <v>357.36</v>
      </c>
      <c r="BM34" s="88"/>
      <c r="BN34" s="88">
        <v>45.26</v>
      </c>
      <c r="BO34" s="89">
        <v>2.82</v>
      </c>
      <c r="BP34" s="62">
        <f t="shared" si="33"/>
        <v>8108.3153776734698</v>
      </c>
      <c r="BQ34" s="63">
        <f t="shared" si="16"/>
        <v>184.84454933546667</v>
      </c>
      <c r="BR34" s="64">
        <f t="shared" si="34"/>
        <v>587.09456915680005</v>
      </c>
      <c r="BS34" s="62">
        <f t="shared" si="17"/>
        <v>8703.7612110204027</v>
      </c>
      <c r="BT34" s="62">
        <f t="shared" si="17"/>
        <v>227.38894400639998</v>
      </c>
      <c r="BU34" s="100">
        <f t="shared" si="17"/>
        <v>556.27296347039999</v>
      </c>
      <c r="BV34" s="62">
        <f t="shared" si="35"/>
        <v>0</v>
      </c>
      <c r="BW34" s="63">
        <f t="shared" si="35"/>
        <v>0</v>
      </c>
      <c r="BX34" s="64">
        <f t="shared" si="35"/>
        <v>0</v>
      </c>
      <c r="BY34" s="62">
        <f t="shared" si="35"/>
        <v>0</v>
      </c>
      <c r="BZ34" s="62">
        <f t="shared" si="19"/>
        <v>0</v>
      </c>
      <c r="CA34" s="100">
        <f t="shared" si="19"/>
        <v>0</v>
      </c>
      <c r="CB34" s="101">
        <f t="shared" si="46"/>
        <v>-29.592788117469368</v>
      </c>
      <c r="CC34" s="101">
        <f t="shared" si="46"/>
        <v>-0.77312240962175993</v>
      </c>
      <c r="CD34" s="102">
        <f t="shared" si="46"/>
        <v>-1.8913280757993598</v>
      </c>
      <c r="CE34" s="62">
        <f t="shared" si="36"/>
        <v>8674.1684229029324</v>
      </c>
      <c r="CF34" s="63">
        <f t="shared" si="20"/>
        <v>226.61582159677823</v>
      </c>
      <c r="CG34" s="64">
        <f t="shared" si="20"/>
        <v>554.38163539460061</v>
      </c>
      <c r="CH34" s="94">
        <f t="shared" si="21"/>
        <v>8571.7040359699113</v>
      </c>
      <c r="CI34" s="95">
        <f t="shared" si="22"/>
        <v>200.77509075519274</v>
      </c>
      <c r="CJ34" s="96">
        <f t="shared" si="23"/>
        <v>576.64548418380025</v>
      </c>
      <c r="CK34" s="87">
        <v>357.36</v>
      </c>
      <c r="CL34" s="88"/>
      <c r="CM34" s="88">
        <v>45.26</v>
      </c>
      <c r="CN34" s="89">
        <v>2.82</v>
      </c>
      <c r="CO34" s="62">
        <f t="shared" si="37"/>
        <v>8169.0840359699105</v>
      </c>
      <c r="CP34" s="63">
        <f t="shared" si="24"/>
        <v>197.95509075519274</v>
      </c>
      <c r="CQ34" s="64">
        <f t="shared" si="38"/>
        <v>576.64548418380025</v>
      </c>
    </row>
    <row r="35" spans="1:95" ht="14.5" x14ac:dyDescent="0.35">
      <c r="A35" s="61" t="s">
        <v>400</v>
      </c>
      <c r="B35" s="87">
        <v>10299.25</v>
      </c>
      <c r="C35" s="88">
        <v>782.45</v>
      </c>
      <c r="D35" s="89">
        <v>0</v>
      </c>
      <c r="E35" s="87">
        <v>10299.250000000002</v>
      </c>
      <c r="F35" s="88">
        <v>782.45</v>
      </c>
      <c r="G35" s="89">
        <v>0</v>
      </c>
      <c r="H35" s="87">
        <v>0</v>
      </c>
      <c r="I35" s="88">
        <v>0</v>
      </c>
      <c r="J35" s="89">
        <v>0</v>
      </c>
      <c r="K35" s="87">
        <v>0</v>
      </c>
      <c r="L35" s="88">
        <v>0</v>
      </c>
      <c r="M35" s="89">
        <v>0</v>
      </c>
      <c r="N35" s="87">
        <v>-262.2</v>
      </c>
      <c r="O35" s="88">
        <v>-0.51</v>
      </c>
      <c r="P35" s="89">
        <v>0</v>
      </c>
      <c r="Q35" s="62">
        <f t="shared" si="25"/>
        <v>10037.050000000001</v>
      </c>
      <c r="R35" s="63">
        <f t="shared" si="0"/>
        <v>781.94</v>
      </c>
      <c r="S35" s="64">
        <f t="shared" si="0"/>
        <v>0</v>
      </c>
      <c r="T35" s="62">
        <f t="shared" si="26"/>
        <v>10037.050000000001</v>
      </c>
      <c r="U35" s="63">
        <f t="shared" si="1"/>
        <v>781.94</v>
      </c>
      <c r="V35" s="64">
        <f t="shared" si="1"/>
        <v>0</v>
      </c>
      <c r="W35" s="62">
        <f t="shared" si="27"/>
        <v>0</v>
      </c>
      <c r="X35" s="63">
        <f t="shared" si="2"/>
        <v>0</v>
      </c>
      <c r="Y35" s="64">
        <f t="shared" si="2"/>
        <v>0</v>
      </c>
      <c r="Z35" s="103">
        <v>0</v>
      </c>
      <c r="AA35" s="103">
        <v>0</v>
      </c>
      <c r="AB35" s="103">
        <v>0</v>
      </c>
      <c r="AC35" s="104">
        <v>-262.2</v>
      </c>
      <c r="AD35" s="104">
        <v>-0.51</v>
      </c>
      <c r="AE35" s="104">
        <v>0</v>
      </c>
      <c r="AF35" s="62">
        <f t="shared" si="28"/>
        <v>9774.85</v>
      </c>
      <c r="AG35" s="63">
        <f t="shared" si="3"/>
        <v>781.43000000000006</v>
      </c>
      <c r="AH35" s="64">
        <f t="shared" si="3"/>
        <v>0</v>
      </c>
      <c r="AI35" s="94">
        <f t="shared" si="29"/>
        <v>10037.050000000001</v>
      </c>
      <c r="AJ35" s="95">
        <f t="shared" si="4"/>
        <v>781.94</v>
      </c>
      <c r="AK35" s="96">
        <f t="shared" si="4"/>
        <v>0</v>
      </c>
      <c r="AL35" s="97">
        <v>151.35</v>
      </c>
      <c r="AM35" s="98"/>
      <c r="AN35" s="98"/>
      <c r="AO35" s="99"/>
      <c r="AP35" s="62">
        <f t="shared" si="30"/>
        <v>9885.7000000000007</v>
      </c>
      <c r="AQ35" s="63">
        <f t="shared" si="30"/>
        <v>781.94</v>
      </c>
      <c r="AR35" s="63">
        <f t="shared" si="31"/>
        <v>0</v>
      </c>
      <c r="AS35" s="64">
        <f t="shared" si="5"/>
        <v>0</v>
      </c>
      <c r="AT35" s="62">
        <f t="shared" si="6"/>
        <v>9774.85</v>
      </c>
      <c r="AU35" s="62">
        <f t="shared" si="7"/>
        <v>781.43000000000006</v>
      </c>
      <c r="AV35" s="100">
        <f t="shared" si="8"/>
        <v>0</v>
      </c>
      <c r="AW35" s="62">
        <f t="shared" si="9"/>
        <v>0</v>
      </c>
      <c r="AX35" s="63">
        <f t="shared" si="10"/>
        <v>0</v>
      </c>
      <c r="AY35" s="64">
        <f t="shared" si="11"/>
        <v>0</v>
      </c>
      <c r="AZ35" s="87">
        <v>0</v>
      </c>
      <c r="BA35" s="88">
        <v>0</v>
      </c>
      <c r="BB35" s="89">
        <v>0</v>
      </c>
      <c r="BC35" s="87">
        <v>-262.2</v>
      </c>
      <c r="BD35" s="88">
        <v>-0.51</v>
      </c>
      <c r="BE35" s="89">
        <v>0</v>
      </c>
      <c r="BF35" s="62">
        <f t="shared" si="32"/>
        <v>9512.65</v>
      </c>
      <c r="BG35" s="63">
        <f t="shared" si="12"/>
        <v>780.92000000000007</v>
      </c>
      <c r="BH35" s="64">
        <f t="shared" si="12"/>
        <v>0</v>
      </c>
      <c r="BI35" s="94">
        <f t="shared" si="13"/>
        <v>9774.85</v>
      </c>
      <c r="BJ35" s="95">
        <f t="shared" si="14"/>
        <v>781.43</v>
      </c>
      <c r="BK35" s="96">
        <f t="shared" si="15"/>
        <v>0</v>
      </c>
      <c r="BL35" s="87">
        <v>151.35</v>
      </c>
      <c r="BM35" s="88"/>
      <c r="BN35" s="88"/>
      <c r="BO35" s="89"/>
      <c r="BP35" s="62">
        <f t="shared" si="33"/>
        <v>9623.5</v>
      </c>
      <c r="BQ35" s="63">
        <f t="shared" si="16"/>
        <v>781.43</v>
      </c>
      <c r="BR35" s="64">
        <f t="shared" si="34"/>
        <v>0</v>
      </c>
      <c r="BS35" s="62">
        <f t="shared" si="17"/>
        <v>9512.65</v>
      </c>
      <c r="BT35" s="62">
        <f t="shared" si="17"/>
        <v>780.92000000000007</v>
      </c>
      <c r="BU35" s="100">
        <f t="shared" si="17"/>
        <v>0</v>
      </c>
      <c r="BV35" s="62">
        <f t="shared" si="35"/>
        <v>0</v>
      </c>
      <c r="BW35" s="63">
        <f t="shared" si="35"/>
        <v>0</v>
      </c>
      <c r="BX35" s="64">
        <f t="shared" si="35"/>
        <v>0</v>
      </c>
      <c r="BY35" s="62">
        <f t="shared" si="35"/>
        <v>0</v>
      </c>
      <c r="BZ35" s="62">
        <f t="shared" si="19"/>
        <v>0</v>
      </c>
      <c r="CA35" s="100">
        <f t="shared" si="19"/>
        <v>0</v>
      </c>
      <c r="CB35" s="62">
        <f>+BC35</f>
        <v>-262.2</v>
      </c>
      <c r="CC35" s="62">
        <f>+BD35</f>
        <v>-0.51</v>
      </c>
      <c r="CD35" s="100">
        <f>+BE35</f>
        <v>0</v>
      </c>
      <c r="CE35" s="62">
        <f t="shared" si="36"/>
        <v>9250.4499999999989</v>
      </c>
      <c r="CF35" s="63">
        <f t="shared" si="20"/>
        <v>780.41000000000008</v>
      </c>
      <c r="CG35" s="64">
        <f t="shared" si="20"/>
        <v>0</v>
      </c>
      <c r="CH35" s="94">
        <f t="shared" si="21"/>
        <v>9687.4499999999989</v>
      </c>
      <c r="CI35" s="95">
        <f t="shared" si="22"/>
        <v>781.25999999999988</v>
      </c>
      <c r="CJ35" s="96">
        <f t="shared" si="23"/>
        <v>0</v>
      </c>
      <c r="CK35" s="87">
        <v>151.35</v>
      </c>
      <c r="CL35" s="88"/>
      <c r="CM35" s="88"/>
      <c r="CN35" s="89"/>
      <c r="CO35" s="62">
        <f t="shared" si="37"/>
        <v>9536.0999999999985</v>
      </c>
      <c r="CP35" s="63">
        <f t="shared" si="24"/>
        <v>781.25999999999988</v>
      </c>
      <c r="CQ35" s="64">
        <f t="shared" si="38"/>
        <v>0</v>
      </c>
    </row>
    <row r="36" spans="1:95" ht="14.5" x14ac:dyDescent="0.35">
      <c r="A36" s="61" t="s">
        <v>401</v>
      </c>
      <c r="B36" s="87">
        <v>6258.57</v>
      </c>
      <c r="C36" s="88">
        <v>355.9</v>
      </c>
      <c r="D36" s="89">
        <v>82.58</v>
      </c>
      <c r="E36" s="87">
        <v>6258.5700600000009</v>
      </c>
      <c r="F36" s="88">
        <v>355.89999999999992</v>
      </c>
      <c r="G36" s="89">
        <v>82.58</v>
      </c>
      <c r="H36" s="87">
        <v>0</v>
      </c>
      <c r="I36" s="88">
        <v>0</v>
      </c>
      <c r="J36" s="89">
        <v>0</v>
      </c>
      <c r="K36" s="87">
        <v>0</v>
      </c>
      <c r="L36" s="88">
        <v>0</v>
      </c>
      <c r="M36" s="89">
        <v>0</v>
      </c>
      <c r="N36" s="87">
        <v>-395.7</v>
      </c>
      <c r="O36" s="88">
        <v>36.72</v>
      </c>
      <c r="P36" s="89">
        <v>-38.07</v>
      </c>
      <c r="Q36" s="62">
        <f t="shared" si="25"/>
        <v>5862.8700600000011</v>
      </c>
      <c r="R36" s="63">
        <f t="shared" si="0"/>
        <v>392.61999999999989</v>
      </c>
      <c r="S36" s="64">
        <f t="shared" si="0"/>
        <v>44.51</v>
      </c>
      <c r="T36" s="62">
        <f t="shared" si="26"/>
        <v>5862.8700600000011</v>
      </c>
      <c r="U36" s="63">
        <f t="shared" si="1"/>
        <v>392.61999999999989</v>
      </c>
      <c r="V36" s="64">
        <f t="shared" si="1"/>
        <v>44.51</v>
      </c>
      <c r="W36" s="62">
        <f t="shared" si="27"/>
        <v>0</v>
      </c>
      <c r="X36" s="63">
        <f t="shared" si="2"/>
        <v>0</v>
      </c>
      <c r="Y36" s="64">
        <f t="shared" si="2"/>
        <v>0</v>
      </c>
      <c r="Z36" s="90">
        <v>375.76624199999998</v>
      </c>
      <c r="AA36" s="90">
        <v>-38.054907999999998</v>
      </c>
      <c r="AB36" s="90">
        <v>37.918666000000002</v>
      </c>
      <c r="AC36" s="92">
        <v>0</v>
      </c>
      <c r="AD36" s="92">
        <v>0</v>
      </c>
      <c r="AE36" s="92">
        <v>0</v>
      </c>
      <c r="AF36" s="62">
        <f t="shared" si="28"/>
        <v>6238.6363020000008</v>
      </c>
      <c r="AG36" s="63">
        <f t="shared" si="3"/>
        <v>354.56509199999988</v>
      </c>
      <c r="AH36" s="64">
        <f t="shared" si="3"/>
        <v>82.428665999999993</v>
      </c>
      <c r="AI36" s="94">
        <f t="shared" si="29"/>
        <v>6120.0254539999996</v>
      </c>
      <c r="AJ36" s="95">
        <f t="shared" si="4"/>
        <v>367.69503066666658</v>
      </c>
      <c r="AK36" s="96">
        <f t="shared" si="4"/>
        <v>69.839555333333337</v>
      </c>
      <c r="AL36" s="97">
        <v>96.2</v>
      </c>
      <c r="AM36" s="98"/>
      <c r="AN36" s="98"/>
      <c r="AO36" s="99"/>
      <c r="AP36" s="62">
        <f t="shared" si="30"/>
        <v>6023.8254539999998</v>
      </c>
      <c r="AQ36" s="63">
        <f t="shared" si="30"/>
        <v>367.69503066666658</v>
      </c>
      <c r="AR36" s="63">
        <f t="shared" si="31"/>
        <v>69.839555333333337</v>
      </c>
      <c r="AS36" s="64">
        <f t="shared" si="5"/>
        <v>82.428665999999993</v>
      </c>
      <c r="AT36" s="62">
        <f t="shared" ref="AT36:AT67" si="47">+AF36</f>
        <v>6238.6363020000008</v>
      </c>
      <c r="AU36" s="62">
        <f t="shared" ref="AU36:AU67" si="48">+AG36</f>
        <v>354.56509199999988</v>
      </c>
      <c r="AV36" s="100">
        <f t="shared" ref="AV36:AV67" si="49">+AH36</f>
        <v>82.428665999999993</v>
      </c>
      <c r="AW36" s="62">
        <f t="shared" ref="AW36:AW67" si="50">+W36</f>
        <v>0</v>
      </c>
      <c r="AX36" s="63">
        <f t="shared" ref="AX36:AX67" si="51">+X36</f>
        <v>0</v>
      </c>
      <c r="AY36" s="64">
        <f t="shared" ref="AY36:AY67" si="52">+Y36</f>
        <v>0</v>
      </c>
      <c r="AZ36" s="110">
        <f>+AC36</f>
        <v>0</v>
      </c>
      <c r="BA36" s="111">
        <f>+AD36</f>
        <v>0</v>
      </c>
      <c r="BB36" s="112">
        <f>+AE36</f>
        <v>0</v>
      </c>
      <c r="BC36" s="87">
        <v>-21.211363222799996</v>
      </c>
      <c r="BD36" s="88">
        <v>-1.2055213128</v>
      </c>
      <c r="BE36" s="89">
        <v>-0.28025746439999993</v>
      </c>
      <c r="BF36" s="62">
        <f t="shared" si="32"/>
        <v>6217.4249387772006</v>
      </c>
      <c r="BG36" s="63">
        <f t="shared" si="12"/>
        <v>353.35957068719989</v>
      </c>
      <c r="BH36" s="64">
        <f t="shared" si="12"/>
        <v>82.148408535599998</v>
      </c>
      <c r="BI36" s="94">
        <f t="shared" ref="BI36:BI67" si="53">(Q36+AF36+BF36-AW36-AZ36)/3</f>
        <v>6106.3104335924008</v>
      </c>
      <c r="BJ36" s="95">
        <f t="shared" ref="BJ36:BJ67" si="54">(R36+AG36+BG36-AX36-BA36)/3</f>
        <v>366.84822089573322</v>
      </c>
      <c r="BK36" s="96">
        <f t="shared" ref="BK36:BK67" si="55">(S36+AH36+BH36-AY36-BB36)/3</f>
        <v>69.695691511866656</v>
      </c>
      <c r="BL36" s="87">
        <v>96.2</v>
      </c>
      <c r="BM36" s="88"/>
      <c r="BN36" s="88"/>
      <c r="BO36" s="89"/>
      <c r="BP36" s="62">
        <f t="shared" si="33"/>
        <v>6010.110433592401</v>
      </c>
      <c r="BQ36" s="63">
        <f t="shared" si="16"/>
        <v>366.84822089573322</v>
      </c>
      <c r="BR36" s="64">
        <f t="shared" si="34"/>
        <v>69.695691511866656</v>
      </c>
      <c r="BS36" s="62">
        <f t="shared" si="17"/>
        <v>6217.4249387772006</v>
      </c>
      <c r="BT36" s="62">
        <f t="shared" si="17"/>
        <v>353.35957068719989</v>
      </c>
      <c r="BU36" s="100">
        <f t="shared" si="17"/>
        <v>82.148408535599998</v>
      </c>
      <c r="BV36" s="62">
        <f t="shared" si="35"/>
        <v>0</v>
      </c>
      <c r="BW36" s="63">
        <f t="shared" si="35"/>
        <v>0</v>
      </c>
      <c r="BX36" s="64">
        <f t="shared" si="35"/>
        <v>0</v>
      </c>
      <c r="BY36" s="62">
        <f t="shared" si="35"/>
        <v>0</v>
      </c>
      <c r="BZ36" s="62">
        <f t="shared" si="19"/>
        <v>0</v>
      </c>
      <c r="CA36" s="100">
        <f t="shared" si="19"/>
        <v>0</v>
      </c>
      <c r="CB36" s="101">
        <f>-(BS36*0.0034)</f>
        <v>-21.139244791842479</v>
      </c>
      <c r="CC36" s="101">
        <f>-(BT36*0.0034)</f>
        <v>-1.2014225403364795</v>
      </c>
      <c r="CD36" s="102">
        <f>-(BU36*0.0034)</f>
        <v>-0.27930458902104</v>
      </c>
      <c r="CE36" s="62">
        <f t="shared" si="36"/>
        <v>6196.2856939853582</v>
      </c>
      <c r="CF36" s="63">
        <f t="shared" si="20"/>
        <v>352.15814814686343</v>
      </c>
      <c r="CG36" s="64">
        <f t="shared" si="20"/>
        <v>81.86910394657896</v>
      </c>
      <c r="CH36" s="94">
        <f t="shared" ref="CH36:CH67" si="56">(+AI36+W36+BI36+AW36+AZ36+CE36-BV36-BY36)/3</f>
        <v>6140.8738605259196</v>
      </c>
      <c r="CI36" s="95">
        <f t="shared" ref="CI36:CI67" si="57">(+AJ36+X36+BJ36+AX36+BA36+CF36-BW36-BZ36)/3</f>
        <v>362.23379990308769</v>
      </c>
      <c r="CJ36" s="96">
        <f t="shared" ref="CJ36:CJ67" si="58">(+AK36+Y36+BK36+AY36+BB36+CG36-BX36-CA36)/3</f>
        <v>73.801450263926313</v>
      </c>
      <c r="CK36" s="87">
        <v>96.2</v>
      </c>
      <c r="CL36" s="88"/>
      <c r="CM36" s="88"/>
      <c r="CN36" s="89"/>
      <c r="CO36" s="62">
        <f t="shared" si="37"/>
        <v>6044.6738605259197</v>
      </c>
      <c r="CP36" s="63">
        <f t="shared" si="24"/>
        <v>362.23379990308769</v>
      </c>
      <c r="CQ36" s="64">
        <f t="shared" si="38"/>
        <v>73.801450263926313</v>
      </c>
    </row>
    <row r="37" spans="1:95" ht="14.5" x14ac:dyDescent="0.35">
      <c r="A37" s="61" t="s">
        <v>402</v>
      </c>
      <c r="B37" s="87">
        <v>24240.05</v>
      </c>
      <c r="C37" s="88">
        <v>1697.18</v>
      </c>
      <c r="D37" s="89">
        <v>5080.3999999999996</v>
      </c>
      <c r="E37" s="87">
        <v>24240.05</v>
      </c>
      <c r="F37" s="88">
        <v>1697.1799999999998</v>
      </c>
      <c r="G37" s="89">
        <v>5080.4000000000005</v>
      </c>
      <c r="H37" s="87">
        <v>1069.0930000000001</v>
      </c>
      <c r="I37" s="88">
        <v>577.46</v>
      </c>
      <c r="J37" s="89">
        <v>212.55</v>
      </c>
      <c r="K37" s="87">
        <v>381.887</v>
      </c>
      <c r="L37" s="88">
        <v>0</v>
      </c>
      <c r="M37" s="89">
        <v>0</v>
      </c>
      <c r="N37" s="87">
        <v>0</v>
      </c>
      <c r="O37" s="88">
        <v>0</v>
      </c>
      <c r="P37" s="89">
        <v>0</v>
      </c>
      <c r="Q37" s="62">
        <f t="shared" si="25"/>
        <v>25691.03</v>
      </c>
      <c r="R37" s="63">
        <f t="shared" si="0"/>
        <v>2274.64</v>
      </c>
      <c r="S37" s="64">
        <f t="shared" si="0"/>
        <v>5292.9500000000007</v>
      </c>
      <c r="T37" s="62">
        <f t="shared" si="26"/>
        <v>25691.03</v>
      </c>
      <c r="U37" s="63">
        <f t="shared" si="1"/>
        <v>2274.64</v>
      </c>
      <c r="V37" s="64">
        <f t="shared" si="1"/>
        <v>5292.9500000000007</v>
      </c>
      <c r="W37" s="62">
        <f t="shared" si="27"/>
        <v>1069.0930000000001</v>
      </c>
      <c r="X37" s="63">
        <f t="shared" si="2"/>
        <v>577.46</v>
      </c>
      <c r="Y37" s="64">
        <f t="shared" si="2"/>
        <v>212.55</v>
      </c>
      <c r="Z37" s="103">
        <v>0</v>
      </c>
      <c r="AA37" s="103">
        <v>0</v>
      </c>
      <c r="AB37" s="103">
        <v>0</v>
      </c>
      <c r="AC37" s="92">
        <v>0</v>
      </c>
      <c r="AD37" s="92">
        <v>0</v>
      </c>
      <c r="AE37" s="92">
        <v>0</v>
      </c>
      <c r="AF37" s="62">
        <f t="shared" si="28"/>
        <v>26760.123</v>
      </c>
      <c r="AG37" s="63">
        <f t="shared" si="3"/>
        <v>2852.1</v>
      </c>
      <c r="AH37" s="64">
        <f t="shared" si="3"/>
        <v>5505.5000000000009</v>
      </c>
      <c r="AI37" s="94">
        <f t="shared" si="29"/>
        <v>25207.370000000006</v>
      </c>
      <c r="AJ37" s="95">
        <f t="shared" si="4"/>
        <v>2082.1533333333332</v>
      </c>
      <c r="AK37" s="96">
        <f t="shared" si="4"/>
        <v>5222.1000000000013</v>
      </c>
      <c r="AL37" s="97">
        <v>24.49</v>
      </c>
      <c r="AM37" s="98"/>
      <c r="AN37" s="98"/>
      <c r="AO37" s="99"/>
      <c r="AP37" s="62">
        <f t="shared" si="30"/>
        <v>26251.973000000005</v>
      </c>
      <c r="AQ37" s="63">
        <f t="shared" si="30"/>
        <v>2659.6133333333332</v>
      </c>
      <c r="AR37" s="63">
        <f t="shared" si="31"/>
        <v>5434.6500000000015</v>
      </c>
      <c r="AS37" s="64">
        <f t="shared" si="5"/>
        <v>5505.5000000000009</v>
      </c>
      <c r="AT37" s="62">
        <f t="shared" si="47"/>
        <v>26760.123</v>
      </c>
      <c r="AU37" s="62">
        <f t="shared" si="48"/>
        <v>2852.1</v>
      </c>
      <c r="AV37" s="100">
        <f t="shared" si="49"/>
        <v>5505.5000000000009</v>
      </c>
      <c r="AW37" s="62">
        <f t="shared" si="50"/>
        <v>1069.0930000000001</v>
      </c>
      <c r="AX37" s="63">
        <f t="shared" si="51"/>
        <v>577.46</v>
      </c>
      <c r="AY37" s="64">
        <f t="shared" si="52"/>
        <v>212.55</v>
      </c>
      <c r="AZ37" s="62">
        <f>+Z37</f>
        <v>0</v>
      </c>
      <c r="BA37" s="63">
        <f>+AA37</f>
        <v>0</v>
      </c>
      <c r="BB37" s="64">
        <f>+AB37</f>
        <v>0</v>
      </c>
      <c r="BC37" s="87">
        <v>0</v>
      </c>
      <c r="BD37" s="88">
        <v>0</v>
      </c>
      <c r="BE37" s="89">
        <v>0</v>
      </c>
      <c r="BF37" s="62">
        <f t="shared" si="32"/>
        <v>27829.216</v>
      </c>
      <c r="BG37" s="63">
        <f t="shared" si="12"/>
        <v>3429.56</v>
      </c>
      <c r="BH37" s="64">
        <f t="shared" si="12"/>
        <v>5718.0500000000011</v>
      </c>
      <c r="BI37" s="94">
        <f t="shared" si="53"/>
        <v>26403.758666666672</v>
      </c>
      <c r="BJ37" s="95">
        <f t="shared" si="54"/>
        <v>2659.6133333333332</v>
      </c>
      <c r="BK37" s="96">
        <f t="shared" si="55"/>
        <v>5434.6500000000005</v>
      </c>
      <c r="BL37" s="87">
        <v>24.49</v>
      </c>
      <c r="BM37" s="88"/>
      <c r="BN37" s="88"/>
      <c r="BO37" s="89"/>
      <c r="BP37" s="62">
        <f t="shared" si="33"/>
        <v>27448.361666666671</v>
      </c>
      <c r="BQ37" s="63">
        <f t="shared" si="16"/>
        <v>3237.0733333333333</v>
      </c>
      <c r="BR37" s="64">
        <f t="shared" si="34"/>
        <v>5647.2000000000007</v>
      </c>
      <c r="BS37" s="62">
        <f t="shared" si="17"/>
        <v>27829.216</v>
      </c>
      <c r="BT37" s="62">
        <f t="shared" si="17"/>
        <v>3429.56</v>
      </c>
      <c r="BU37" s="100">
        <f t="shared" si="17"/>
        <v>5718.0500000000011</v>
      </c>
      <c r="BV37" s="62">
        <f t="shared" si="35"/>
        <v>1069.0930000000001</v>
      </c>
      <c r="BW37" s="63">
        <f t="shared" si="35"/>
        <v>577.46</v>
      </c>
      <c r="BX37" s="64">
        <f t="shared" si="35"/>
        <v>212.55</v>
      </c>
      <c r="BY37" s="62">
        <f t="shared" si="35"/>
        <v>0</v>
      </c>
      <c r="BZ37" s="62">
        <f t="shared" si="19"/>
        <v>0</v>
      </c>
      <c r="CA37" s="100">
        <f t="shared" si="19"/>
        <v>0</v>
      </c>
      <c r="CB37" s="62">
        <f>+BC37</f>
        <v>0</v>
      </c>
      <c r="CC37" s="62">
        <f>+BD37</f>
        <v>0</v>
      </c>
      <c r="CD37" s="100">
        <f>+BE37</f>
        <v>0</v>
      </c>
      <c r="CE37" s="62">
        <f t="shared" si="36"/>
        <v>28898.309000000001</v>
      </c>
      <c r="CF37" s="63">
        <f t="shared" si="20"/>
        <v>4007.02</v>
      </c>
      <c r="CG37" s="64">
        <f t="shared" si="20"/>
        <v>5930.6000000000013</v>
      </c>
      <c r="CH37" s="94">
        <f t="shared" si="56"/>
        <v>27192.843555555562</v>
      </c>
      <c r="CI37" s="95">
        <f t="shared" si="57"/>
        <v>3108.7488888888888</v>
      </c>
      <c r="CJ37" s="96">
        <f t="shared" si="58"/>
        <v>5599.9666666666681</v>
      </c>
      <c r="CK37" s="87">
        <v>24.49</v>
      </c>
      <c r="CL37" s="88"/>
      <c r="CM37" s="88"/>
      <c r="CN37" s="89"/>
      <c r="CO37" s="62">
        <f t="shared" si="37"/>
        <v>28237.446555555562</v>
      </c>
      <c r="CP37" s="63">
        <f t="shared" si="24"/>
        <v>3686.2088888888889</v>
      </c>
      <c r="CQ37" s="64">
        <f t="shared" si="38"/>
        <v>5812.5166666666682</v>
      </c>
    </row>
    <row r="38" spans="1:95" ht="14.5" x14ac:dyDescent="0.35">
      <c r="A38" s="61" t="s">
        <v>403</v>
      </c>
      <c r="B38" s="87">
        <v>11828.49</v>
      </c>
      <c r="C38" s="88">
        <v>320.33999999999997</v>
      </c>
      <c r="D38" s="89">
        <v>271.38</v>
      </c>
      <c r="E38" s="87">
        <v>11828.490023</v>
      </c>
      <c r="F38" s="88">
        <v>320.34000000000003</v>
      </c>
      <c r="G38" s="89">
        <v>271.38</v>
      </c>
      <c r="H38" s="87">
        <v>0</v>
      </c>
      <c r="I38" s="88">
        <v>0</v>
      </c>
      <c r="J38" s="89">
        <v>0</v>
      </c>
      <c r="K38" s="87">
        <v>0</v>
      </c>
      <c r="L38" s="88">
        <v>0</v>
      </c>
      <c r="M38" s="89">
        <v>0</v>
      </c>
      <c r="N38" s="87">
        <v>-1661.07</v>
      </c>
      <c r="O38" s="88">
        <v>134.16999999999999</v>
      </c>
      <c r="P38" s="89">
        <v>-102.86</v>
      </c>
      <c r="Q38" s="62">
        <f t="shared" si="25"/>
        <v>10167.420023000001</v>
      </c>
      <c r="R38" s="63">
        <f t="shared" si="0"/>
        <v>454.51</v>
      </c>
      <c r="S38" s="64">
        <f t="shared" si="0"/>
        <v>168.51999999999998</v>
      </c>
      <c r="T38" s="62">
        <f t="shared" si="26"/>
        <v>10167.420023000001</v>
      </c>
      <c r="U38" s="63">
        <f t="shared" si="1"/>
        <v>454.51</v>
      </c>
      <c r="V38" s="64">
        <f t="shared" si="1"/>
        <v>168.51999999999998</v>
      </c>
      <c r="W38" s="62">
        <f t="shared" si="27"/>
        <v>0</v>
      </c>
      <c r="X38" s="63">
        <f t="shared" si="2"/>
        <v>0</v>
      </c>
      <c r="Y38" s="64">
        <f t="shared" si="2"/>
        <v>0</v>
      </c>
      <c r="Z38" s="90">
        <v>1626.5007719999999</v>
      </c>
      <c r="AA38" s="90">
        <v>-135.71533399999998</v>
      </c>
      <c r="AB38" s="90">
        <v>102.287032</v>
      </c>
      <c r="AC38" s="92">
        <v>0</v>
      </c>
      <c r="AD38" s="92">
        <v>0</v>
      </c>
      <c r="AE38" s="92">
        <v>0</v>
      </c>
      <c r="AF38" s="62">
        <f t="shared" si="28"/>
        <v>11793.920795</v>
      </c>
      <c r="AG38" s="63">
        <f t="shared" si="3"/>
        <v>318.79466600000001</v>
      </c>
      <c r="AH38" s="64">
        <f t="shared" si="3"/>
        <v>270.80703199999999</v>
      </c>
      <c r="AI38" s="94">
        <f t="shared" si="29"/>
        <v>11263.276939333335</v>
      </c>
      <c r="AJ38" s="95">
        <f t="shared" si="4"/>
        <v>364.54822199999995</v>
      </c>
      <c r="AK38" s="96">
        <f t="shared" si="4"/>
        <v>236.902344</v>
      </c>
      <c r="AL38" s="97">
        <v>99.74</v>
      </c>
      <c r="AM38" s="98"/>
      <c r="AN38" s="98"/>
      <c r="AO38" s="99"/>
      <c r="AP38" s="62">
        <f t="shared" si="30"/>
        <v>11163.536939333335</v>
      </c>
      <c r="AQ38" s="63">
        <f t="shared" si="30"/>
        <v>364.54822199999995</v>
      </c>
      <c r="AR38" s="63">
        <f t="shared" si="31"/>
        <v>236.902344</v>
      </c>
      <c r="AS38" s="64">
        <f t="shared" si="5"/>
        <v>270.80703199999999</v>
      </c>
      <c r="AT38" s="62">
        <f t="shared" si="47"/>
        <v>11793.920795</v>
      </c>
      <c r="AU38" s="62">
        <f t="shared" si="48"/>
        <v>318.79466600000001</v>
      </c>
      <c r="AV38" s="100">
        <f t="shared" si="49"/>
        <v>270.80703199999999</v>
      </c>
      <c r="AW38" s="62">
        <f t="shared" si="50"/>
        <v>0</v>
      </c>
      <c r="AX38" s="63">
        <f t="shared" si="51"/>
        <v>0</v>
      </c>
      <c r="AY38" s="64">
        <f t="shared" si="52"/>
        <v>0</v>
      </c>
      <c r="AZ38" s="110">
        <f>+AC38</f>
        <v>0</v>
      </c>
      <c r="BA38" s="111">
        <f>+AD38</f>
        <v>0</v>
      </c>
      <c r="BB38" s="112">
        <f>+AE38</f>
        <v>0</v>
      </c>
      <c r="BC38" s="87">
        <v>-40.099330624799997</v>
      </c>
      <c r="BD38" s="88">
        <v>-1.0839018644</v>
      </c>
      <c r="BE38" s="89">
        <v>-0.9207439087999999</v>
      </c>
      <c r="BF38" s="62">
        <f t="shared" si="32"/>
        <v>11753.8214643752</v>
      </c>
      <c r="BG38" s="63">
        <f t="shared" si="12"/>
        <v>317.71076413560002</v>
      </c>
      <c r="BH38" s="64">
        <f t="shared" si="12"/>
        <v>269.88628809120002</v>
      </c>
      <c r="BI38" s="94">
        <f t="shared" si="53"/>
        <v>11238.3874274584</v>
      </c>
      <c r="BJ38" s="95">
        <f t="shared" si="54"/>
        <v>363.67181004520006</v>
      </c>
      <c r="BK38" s="96">
        <f t="shared" si="55"/>
        <v>236.4044400304</v>
      </c>
      <c r="BL38" s="87">
        <v>99.74</v>
      </c>
      <c r="BM38" s="88"/>
      <c r="BN38" s="88"/>
      <c r="BO38" s="89"/>
      <c r="BP38" s="62">
        <f t="shared" si="33"/>
        <v>11138.6474274584</v>
      </c>
      <c r="BQ38" s="63">
        <f t="shared" si="16"/>
        <v>363.67181004520006</v>
      </c>
      <c r="BR38" s="64">
        <f t="shared" si="34"/>
        <v>236.4044400304</v>
      </c>
      <c r="BS38" s="62">
        <f t="shared" si="17"/>
        <v>11753.8214643752</v>
      </c>
      <c r="BT38" s="62">
        <f t="shared" si="17"/>
        <v>317.71076413560002</v>
      </c>
      <c r="BU38" s="100">
        <f t="shared" si="17"/>
        <v>269.88628809120002</v>
      </c>
      <c r="BV38" s="62">
        <f t="shared" si="35"/>
        <v>0</v>
      </c>
      <c r="BW38" s="63">
        <f t="shared" si="35"/>
        <v>0</v>
      </c>
      <c r="BX38" s="64">
        <f t="shared" si="35"/>
        <v>0</v>
      </c>
      <c r="BY38" s="62">
        <f t="shared" si="35"/>
        <v>0</v>
      </c>
      <c r="BZ38" s="62">
        <f t="shared" si="19"/>
        <v>0</v>
      </c>
      <c r="CA38" s="100">
        <f t="shared" si="19"/>
        <v>0</v>
      </c>
      <c r="CB38" s="101">
        <f>-(BS38*0.0034)</f>
        <v>-39.962992978875675</v>
      </c>
      <c r="CC38" s="101">
        <f>-(BT38*0.0034)</f>
        <v>-1.0802165980610401</v>
      </c>
      <c r="CD38" s="102">
        <f>-(BU38*0.0034)</f>
        <v>-0.91761337951008004</v>
      </c>
      <c r="CE38" s="62">
        <f t="shared" si="36"/>
        <v>11713.858471396325</v>
      </c>
      <c r="CF38" s="63">
        <f t="shared" si="20"/>
        <v>316.63054753753897</v>
      </c>
      <c r="CG38" s="64">
        <f t="shared" si="20"/>
        <v>268.96867471168991</v>
      </c>
      <c r="CH38" s="94">
        <f t="shared" si="56"/>
        <v>11405.17427939602</v>
      </c>
      <c r="CI38" s="95">
        <f t="shared" si="57"/>
        <v>348.28352652757968</v>
      </c>
      <c r="CJ38" s="96">
        <f t="shared" si="58"/>
        <v>247.42515291402995</v>
      </c>
      <c r="CK38" s="87">
        <v>99.74</v>
      </c>
      <c r="CL38" s="88"/>
      <c r="CM38" s="88"/>
      <c r="CN38" s="89"/>
      <c r="CO38" s="62">
        <f t="shared" si="37"/>
        <v>11305.43427939602</v>
      </c>
      <c r="CP38" s="63">
        <f t="shared" si="24"/>
        <v>348.28352652757968</v>
      </c>
      <c r="CQ38" s="64">
        <f t="shared" si="38"/>
        <v>247.42515291402995</v>
      </c>
    </row>
    <row r="39" spans="1:95" ht="14.5" x14ac:dyDescent="0.35">
      <c r="A39" s="61" t="s">
        <v>404</v>
      </c>
      <c r="B39" s="87">
        <v>4841</v>
      </c>
      <c r="C39" s="88">
        <v>453.46</v>
      </c>
      <c r="D39" s="89">
        <v>11.99</v>
      </c>
      <c r="E39" s="87">
        <v>4840.9999999999991</v>
      </c>
      <c r="F39" s="88">
        <v>453.46000000000004</v>
      </c>
      <c r="G39" s="89">
        <v>11.99</v>
      </c>
      <c r="H39" s="87">
        <v>0</v>
      </c>
      <c r="I39" s="88">
        <v>0</v>
      </c>
      <c r="J39" s="89">
        <v>0</v>
      </c>
      <c r="K39" s="87">
        <v>0</v>
      </c>
      <c r="L39" s="88">
        <v>0</v>
      </c>
      <c r="M39" s="89">
        <v>0</v>
      </c>
      <c r="N39" s="87">
        <v>0.12</v>
      </c>
      <c r="O39" s="88">
        <v>12.03</v>
      </c>
      <c r="P39" s="89">
        <v>-11.99</v>
      </c>
      <c r="Q39" s="62">
        <f t="shared" si="25"/>
        <v>4841.119999999999</v>
      </c>
      <c r="R39" s="63">
        <f t="shared" si="0"/>
        <v>465.49</v>
      </c>
      <c r="S39" s="64">
        <f t="shared" si="0"/>
        <v>0</v>
      </c>
      <c r="T39" s="62">
        <f t="shared" si="26"/>
        <v>4841.119999999999</v>
      </c>
      <c r="U39" s="63">
        <f t="shared" si="1"/>
        <v>465.49</v>
      </c>
      <c r="V39" s="64">
        <f t="shared" si="1"/>
        <v>0</v>
      </c>
      <c r="W39" s="62">
        <f t="shared" si="27"/>
        <v>0</v>
      </c>
      <c r="X39" s="63">
        <f t="shared" si="2"/>
        <v>0</v>
      </c>
      <c r="Y39" s="64">
        <f t="shared" si="2"/>
        <v>0</v>
      </c>
      <c r="Z39" s="103">
        <v>0</v>
      </c>
      <c r="AA39" s="103">
        <v>0</v>
      </c>
      <c r="AB39" s="103">
        <v>0</v>
      </c>
      <c r="AC39" s="104">
        <v>0.12</v>
      </c>
      <c r="AD39" s="104">
        <v>12.03</v>
      </c>
      <c r="AE39" s="104">
        <v>-11.99</v>
      </c>
      <c r="AF39" s="62">
        <f t="shared" si="28"/>
        <v>4841.2399999999989</v>
      </c>
      <c r="AG39" s="63">
        <f t="shared" si="3"/>
        <v>477.52</v>
      </c>
      <c r="AH39" s="64">
        <f t="shared" si="3"/>
        <v>-11.99</v>
      </c>
      <c r="AI39" s="94">
        <f t="shared" si="29"/>
        <v>4841.119999999999</v>
      </c>
      <c r="AJ39" s="95">
        <f t="shared" si="4"/>
        <v>465.49</v>
      </c>
      <c r="AK39" s="96">
        <f t="shared" si="4"/>
        <v>0</v>
      </c>
      <c r="AL39" s="97">
        <v>129.38999999999999</v>
      </c>
      <c r="AM39" s="98"/>
      <c r="AN39" s="98"/>
      <c r="AO39" s="99"/>
      <c r="AP39" s="62">
        <f t="shared" si="30"/>
        <v>4711.7299999999987</v>
      </c>
      <c r="AQ39" s="63">
        <f t="shared" si="30"/>
        <v>465.49</v>
      </c>
      <c r="AR39" s="63">
        <f t="shared" si="31"/>
        <v>0</v>
      </c>
      <c r="AS39" s="64">
        <f t="shared" si="5"/>
        <v>-11.99</v>
      </c>
      <c r="AT39" s="62">
        <f t="shared" si="47"/>
        <v>4841.2399999999989</v>
      </c>
      <c r="AU39" s="62">
        <f t="shared" si="48"/>
        <v>477.52</v>
      </c>
      <c r="AV39" s="100">
        <f t="shared" si="49"/>
        <v>-11.99</v>
      </c>
      <c r="AW39" s="62">
        <f t="shared" si="50"/>
        <v>0</v>
      </c>
      <c r="AX39" s="63">
        <f t="shared" si="51"/>
        <v>0</v>
      </c>
      <c r="AY39" s="64">
        <f t="shared" si="52"/>
        <v>0</v>
      </c>
      <c r="AZ39" s="87">
        <v>0</v>
      </c>
      <c r="BA39" s="88">
        <v>0</v>
      </c>
      <c r="BB39" s="89">
        <v>0</v>
      </c>
      <c r="BC39" s="87">
        <v>0.12</v>
      </c>
      <c r="BD39" s="88">
        <v>12.03</v>
      </c>
      <c r="BE39" s="89">
        <v>-11.99</v>
      </c>
      <c r="BF39" s="62">
        <f t="shared" si="32"/>
        <v>4841.3599999999988</v>
      </c>
      <c r="BG39" s="63">
        <f t="shared" si="12"/>
        <v>489.54999999999995</v>
      </c>
      <c r="BH39" s="64">
        <f t="shared" si="12"/>
        <v>-23.98</v>
      </c>
      <c r="BI39" s="94">
        <f t="shared" si="53"/>
        <v>4841.2399999999989</v>
      </c>
      <c r="BJ39" s="95">
        <f t="shared" si="54"/>
        <v>477.52</v>
      </c>
      <c r="BK39" s="96">
        <f t="shared" si="55"/>
        <v>-11.99</v>
      </c>
      <c r="BL39" s="87">
        <v>129.38999999999999</v>
      </c>
      <c r="BM39" s="88"/>
      <c r="BN39" s="88"/>
      <c r="BO39" s="89"/>
      <c r="BP39" s="62">
        <f t="shared" si="33"/>
        <v>4711.8499999999985</v>
      </c>
      <c r="BQ39" s="63">
        <f t="shared" si="16"/>
        <v>477.52</v>
      </c>
      <c r="BR39" s="64">
        <f t="shared" si="34"/>
        <v>-11.99</v>
      </c>
      <c r="BS39" s="62">
        <f t="shared" si="17"/>
        <v>4841.3599999999988</v>
      </c>
      <c r="BT39" s="62">
        <f t="shared" si="17"/>
        <v>489.54999999999995</v>
      </c>
      <c r="BU39" s="100">
        <f t="shared" si="17"/>
        <v>-23.98</v>
      </c>
      <c r="BV39" s="62">
        <f t="shared" si="35"/>
        <v>0</v>
      </c>
      <c r="BW39" s="63">
        <f t="shared" si="35"/>
        <v>0</v>
      </c>
      <c r="BX39" s="64">
        <f t="shared" si="35"/>
        <v>0</v>
      </c>
      <c r="BY39" s="62">
        <f t="shared" si="35"/>
        <v>0</v>
      </c>
      <c r="BZ39" s="62">
        <f t="shared" si="19"/>
        <v>0</v>
      </c>
      <c r="CA39" s="100">
        <f t="shared" si="19"/>
        <v>0</v>
      </c>
      <c r="CB39" s="62">
        <f>+BC39</f>
        <v>0.12</v>
      </c>
      <c r="CC39" s="62">
        <f>+BD39</f>
        <v>12.03</v>
      </c>
      <c r="CD39" s="100">
        <f>+BE39</f>
        <v>-11.99</v>
      </c>
      <c r="CE39" s="62">
        <f t="shared" si="36"/>
        <v>4841.4799999999987</v>
      </c>
      <c r="CF39" s="63">
        <f t="shared" si="20"/>
        <v>501.57999999999993</v>
      </c>
      <c r="CG39" s="64">
        <f t="shared" si="20"/>
        <v>-35.97</v>
      </c>
      <c r="CH39" s="94">
        <f t="shared" si="56"/>
        <v>4841.2799999999988</v>
      </c>
      <c r="CI39" s="95">
        <f t="shared" si="57"/>
        <v>481.53</v>
      </c>
      <c r="CJ39" s="96">
        <f t="shared" si="58"/>
        <v>-15.986666666666666</v>
      </c>
      <c r="CK39" s="87">
        <v>129.38999999999999</v>
      </c>
      <c r="CL39" s="88"/>
      <c r="CM39" s="88"/>
      <c r="CN39" s="89"/>
      <c r="CO39" s="62">
        <f t="shared" si="37"/>
        <v>4711.8899999999985</v>
      </c>
      <c r="CP39" s="63">
        <f t="shared" si="24"/>
        <v>481.53</v>
      </c>
      <c r="CQ39" s="64">
        <f t="shared" si="38"/>
        <v>-15.986666666666666</v>
      </c>
    </row>
    <row r="40" spans="1:95" ht="14.5" x14ac:dyDescent="0.35">
      <c r="A40" s="61" t="s">
        <v>405</v>
      </c>
      <c r="B40" s="87">
        <v>32051.03</v>
      </c>
      <c r="C40" s="88">
        <v>2631.79</v>
      </c>
      <c r="D40" s="89">
        <v>2565.56</v>
      </c>
      <c r="E40" s="87">
        <v>32051.030064999999</v>
      </c>
      <c r="F40" s="88">
        <v>2631.7900000000004</v>
      </c>
      <c r="G40" s="89">
        <v>2565.56</v>
      </c>
      <c r="H40" s="87">
        <v>0</v>
      </c>
      <c r="I40" s="88">
        <v>0</v>
      </c>
      <c r="J40" s="89">
        <v>0</v>
      </c>
      <c r="K40" s="87">
        <v>0</v>
      </c>
      <c r="L40" s="88">
        <v>0</v>
      </c>
      <c r="M40" s="89">
        <v>0</v>
      </c>
      <c r="N40" s="87">
        <v>-4642.5</v>
      </c>
      <c r="O40" s="88">
        <v>-188.64</v>
      </c>
      <c r="P40" s="89">
        <v>181.08</v>
      </c>
      <c r="Q40" s="62">
        <f t="shared" si="25"/>
        <v>27408.530064999999</v>
      </c>
      <c r="R40" s="63">
        <f t="shared" si="0"/>
        <v>2443.1500000000005</v>
      </c>
      <c r="S40" s="64">
        <f t="shared" si="0"/>
        <v>2746.64</v>
      </c>
      <c r="T40" s="62">
        <f t="shared" si="26"/>
        <v>27408.530064999999</v>
      </c>
      <c r="U40" s="63">
        <f t="shared" si="1"/>
        <v>2443.1500000000005</v>
      </c>
      <c r="V40" s="64">
        <f t="shared" si="1"/>
        <v>2746.64</v>
      </c>
      <c r="W40" s="62">
        <f t="shared" si="27"/>
        <v>0</v>
      </c>
      <c r="X40" s="63">
        <f t="shared" si="2"/>
        <v>0</v>
      </c>
      <c r="Y40" s="64">
        <f t="shared" si="2"/>
        <v>0</v>
      </c>
      <c r="Z40" s="90">
        <v>4549.3109979999999</v>
      </c>
      <c r="AA40" s="90">
        <v>180.33328999999998</v>
      </c>
      <c r="AB40" s="90">
        <v>-190.418576</v>
      </c>
      <c r="AC40" s="92">
        <v>0</v>
      </c>
      <c r="AD40" s="92">
        <v>0</v>
      </c>
      <c r="AE40" s="92">
        <v>0</v>
      </c>
      <c r="AF40" s="62">
        <f t="shared" si="28"/>
        <v>31957.841063</v>
      </c>
      <c r="AG40" s="63">
        <f t="shared" si="3"/>
        <v>2623.4832900000006</v>
      </c>
      <c r="AH40" s="64">
        <f t="shared" si="3"/>
        <v>2556.2214239999998</v>
      </c>
      <c r="AI40" s="94">
        <f t="shared" si="29"/>
        <v>30472.467042666667</v>
      </c>
      <c r="AJ40" s="95">
        <f t="shared" si="4"/>
        <v>2566.1410966666667</v>
      </c>
      <c r="AK40" s="96">
        <f t="shared" si="4"/>
        <v>2622.8071413333332</v>
      </c>
      <c r="AL40" s="97">
        <v>195.65</v>
      </c>
      <c r="AM40" s="98"/>
      <c r="AN40" s="98"/>
      <c r="AO40" s="99"/>
      <c r="AP40" s="62">
        <f t="shared" si="30"/>
        <v>30276.817042666666</v>
      </c>
      <c r="AQ40" s="63">
        <f t="shared" si="30"/>
        <v>2566.1410966666667</v>
      </c>
      <c r="AR40" s="63">
        <f t="shared" si="31"/>
        <v>2622.8071413333332</v>
      </c>
      <c r="AS40" s="64">
        <f t="shared" si="5"/>
        <v>2556.2214239999998</v>
      </c>
      <c r="AT40" s="62">
        <f t="shared" si="47"/>
        <v>31957.841063</v>
      </c>
      <c r="AU40" s="62">
        <f t="shared" si="48"/>
        <v>2623.4832900000006</v>
      </c>
      <c r="AV40" s="100">
        <f t="shared" si="49"/>
        <v>2556.2214239999998</v>
      </c>
      <c r="AW40" s="62">
        <f t="shared" si="50"/>
        <v>0</v>
      </c>
      <c r="AX40" s="63">
        <f t="shared" si="51"/>
        <v>0</v>
      </c>
      <c r="AY40" s="64">
        <f t="shared" si="52"/>
        <v>0</v>
      </c>
      <c r="AZ40" s="110">
        <f t="shared" ref="AZ40:BB41" si="59">+AC40</f>
        <v>0</v>
      </c>
      <c r="BA40" s="111">
        <f t="shared" si="59"/>
        <v>0</v>
      </c>
      <c r="BB40" s="112">
        <f t="shared" si="59"/>
        <v>0</v>
      </c>
      <c r="BC40" s="87">
        <v>-108.65665939319999</v>
      </c>
      <c r="BD40" s="88">
        <v>-8.9198431859999996</v>
      </c>
      <c r="BE40" s="89">
        <v>-8.6911528415999992</v>
      </c>
      <c r="BF40" s="62">
        <f t="shared" si="32"/>
        <v>31849.1844036068</v>
      </c>
      <c r="BG40" s="63">
        <f t="shared" si="12"/>
        <v>2614.5634468140006</v>
      </c>
      <c r="BH40" s="64">
        <f t="shared" si="12"/>
        <v>2547.5302711584</v>
      </c>
      <c r="BI40" s="94">
        <f t="shared" si="53"/>
        <v>30405.185177202267</v>
      </c>
      <c r="BJ40" s="95">
        <f t="shared" si="54"/>
        <v>2560.3989122713342</v>
      </c>
      <c r="BK40" s="96">
        <f t="shared" si="55"/>
        <v>2616.7972317194667</v>
      </c>
      <c r="BL40" s="87">
        <v>195.65</v>
      </c>
      <c r="BM40" s="88"/>
      <c r="BN40" s="88"/>
      <c r="BO40" s="89"/>
      <c r="BP40" s="62">
        <f t="shared" si="33"/>
        <v>30209.535177202266</v>
      </c>
      <c r="BQ40" s="63">
        <f t="shared" si="16"/>
        <v>2560.3989122713342</v>
      </c>
      <c r="BR40" s="64">
        <f t="shared" si="34"/>
        <v>2616.7972317194667</v>
      </c>
      <c r="BS40" s="62">
        <f t="shared" si="17"/>
        <v>31849.1844036068</v>
      </c>
      <c r="BT40" s="62">
        <f t="shared" si="17"/>
        <v>2614.5634468140006</v>
      </c>
      <c r="BU40" s="100">
        <f t="shared" si="17"/>
        <v>2547.5302711584</v>
      </c>
      <c r="BV40" s="62">
        <f t="shared" si="35"/>
        <v>0</v>
      </c>
      <c r="BW40" s="63">
        <f t="shared" si="35"/>
        <v>0</v>
      </c>
      <c r="BX40" s="64">
        <f t="shared" si="35"/>
        <v>0</v>
      </c>
      <c r="BY40" s="62">
        <f t="shared" si="35"/>
        <v>0</v>
      </c>
      <c r="BZ40" s="62">
        <f t="shared" si="19"/>
        <v>0</v>
      </c>
      <c r="CA40" s="100">
        <f t="shared" si="19"/>
        <v>0</v>
      </c>
      <c r="CB40" s="101">
        <f t="shared" ref="CB40:CD41" si="60">-(BS40*0.0034)</f>
        <v>-108.28722697226311</v>
      </c>
      <c r="CC40" s="101">
        <f t="shared" si="60"/>
        <v>-8.8895157191676013</v>
      </c>
      <c r="CD40" s="102">
        <f t="shared" si="60"/>
        <v>-8.6616029219385595</v>
      </c>
      <c r="CE40" s="62">
        <f t="shared" si="36"/>
        <v>31740.897176634535</v>
      </c>
      <c r="CF40" s="63">
        <f t="shared" si="20"/>
        <v>2605.6739310948328</v>
      </c>
      <c r="CG40" s="64">
        <f t="shared" si="20"/>
        <v>2538.8686682364614</v>
      </c>
      <c r="CH40" s="94">
        <f t="shared" si="56"/>
        <v>30872.84979883449</v>
      </c>
      <c r="CI40" s="95">
        <f t="shared" si="57"/>
        <v>2577.4046466776113</v>
      </c>
      <c r="CJ40" s="96">
        <f t="shared" si="58"/>
        <v>2592.8243470964203</v>
      </c>
      <c r="CK40" s="87">
        <v>195.65</v>
      </c>
      <c r="CL40" s="88"/>
      <c r="CM40" s="88"/>
      <c r="CN40" s="89"/>
      <c r="CO40" s="62">
        <f t="shared" si="37"/>
        <v>30677.199798834488</v>
      </c>
      <c r="CP40" s="63">
        <f t="shared" si="24"/>
        <v>2577.4046466776113</v>
      </c>
      <c r="CQ40" s="64">
        <f t="shared" si="38"/>
        <v>2592.8243470964203</v>
      </c>
    </row>
    <row r="41" spans="1:95" ht="14.5" x14ac:dyDescent="0.35">
      <c r="A41" s="61" t="s">
        <v>406</v>
      </c>
      <c r="B41" s="87">
        <v>8240</v>
      </c>
      <c r="C41" s="88">
        <v>0</v>
      </c>
      <c r="D41" s="89">
        <v>0</v>
      </c>
      <c r="E41" s="87">
        <v>8239.9999019999996</v>
      </c>
      <c r="F41" s="88">
        <v>0</v>
      </c>
      <c r="G41" s="89">
        <v>0</v>
      </c>
      <c r="H41" s="87">
        <v>0</v>
      </c>
      <c r="I41" s="88">
        <v>0</v>
      </c>
      <c r="J41" s="89">
        <v>0</v>
      </c>
      <c r="K41" s="87">
        <v>0</v>
      </c>
      <c r="L41" s="88">
        <v>0</v>
      </c>
      <c r="M41" s="89">
        <v>0</v>
      </c>
      <c r="N41" s="87">
        <v>-1360.9</v>
      </c>
      <c r="O41" s="88">
        <v>0</v>
      </c>
      <c r="P41" s="89">
        <v>0</v>
      </c>
      <c r="Q41" s="62">
        <f t="shared" si="25"/>
        <v>6879.0999019999999</v>
      </c>
      <c r="R41" s="63">
        <f t="shared" si="0"/>
        <v>0</v>
      </c>
      <c r="S41" s="64">
        <f t="shared" si="0"/>
        <v>0</v>
      </c>
      <c r="T41" s="62">
        <f t="shared" si="26"/>
        <v>6879.0999019999999</v>
      </c>
      <c r="U41" s="63">
        <f t="shared" si="1"/>
        <v>0</v>
      </c>
      <c r="V41" s="64">
        <f t="shared" si="1"/>
        <v>0</v>
      </c>
      <c r="W41" s="62">
        <f t="shared" si="27"/>
        <v>0</v>
      </c>
      <c r="X41" s="63">
        <f t="shared" si="2"/>
        <v>0</v>
      </c>
      <c r="Y41" s="64">
        <f t="shared" si="2"/>
        <v>0</v>
      </c>
      <c r="Z41" s="90">
        <v>1337.51106</v>
      </c>
      <c r="AA41" s="90">
        <v>0</v>
      </c>
      <c r="AB41" s="90">
        <v>0</v>
      </c>
      <c r="AC41" s="92">
        <v>0</v>
      </c>
      <c r="AD41" s="92">
        <v>0</v>
      </c>
      <c r="AE41" s="92">
        <v>0</v>
      </c>
      <c r="AF41" s="62">
        <f t="shared" si="28"/>
        <v>8216.6109620000007</v>
      </c>
      <c r="AG41" s="63">
        <f t="shared" si="3"/>
        <v>0</v>
      </c>
      <c r="AH41" s="64">
        <f t="shared" si="3"/>
        <v>0</v>
      </c>
      <c r="AI41" s="94">
        <f t="shared" si="29"/>
        <v>7778.5702879999999</v>
      </c>
      <c r="AJ41" s="95">
        <f t="shared" si="4"/>
        <v>0</v>
      </c>
      <c r="AK41" s="96">
        <f t="shared" si="4"/>
        <v>0</v>
      </c>
      <c r="AL41" s="97">
        <v>1307.92</v>
      </c>
      <c r="AM41" s="98"/>
      <c r="AN41" s="98"/>
      <c r="AO41" s="99"/>
      <c r="AP41" s="62">
        <f t="shared" si="30"/>
        <v>6470.6502879999998</v>
      </c>
      <c r="AQ41" s="63">
        <f t="shared" si="30"/>
        <v>0</v>
      </c>
      <c r="AR41" s="63">
        <f t="shared" si="31"/>
        <v>0</v>
      </c>
      <c r="AS41" s="64">
        <f t="shared" si="5"/>
        <v>0</v>
      </c>
      <c r="AT41" s="62">
        <f t="shared" si="47"/>
        <v>8216.6109620000007</v>
      </c>
      <c r="AU41" s="62">
        <f t="shared" si="48"/>
        <v>0</v>
      </c>
      <c r="AV41" s="100">
        <f t="shared" si="49"/>
        <v>0</v>
      </c>
      <c r="AW41" s="62">
        <f t="shared" si="50"/>
        <v>0</v>
      </c>
      <c r="AX41" s="63">
        <f t="shared" si="51"/>
        <v>0</v>
      </c>
      <c r="AY41" s="64">
        <f t="shared" si="52"/>
        <v>0</v>
      </c>
      <c r="AZ41" s="110">
        <f t="shared" si="59"/>
        <v>0</v>
      </c>
      <c r="BA41" s="111">
        <f t="shared" si="59"/>
        <v>0</v>
      </c>
      <c r="BB41" s="112">
        <f t="shared" si="59"/>
        <v>0</v>
      </c>
      <c r="BC41" s="87">
        <v>-27.936477604000004</v>
      </c>
      <c r="BD41" s="88">
        <v>0</v>
      </c>
      <c r="BE41" s="89">
        <v>0</v>
      </c>
      <c r="BF41" s="62">
        <f t="shared" si="32"/>
        <v>8188.6744843960005</v>
      </c>
      <c r="BG41" s="63">
        <f t="shared" si="12"/>
        <v>0</v>
      </c>
      <c r="BH41" s="64">
        <f t="shared" si="12"/>
        <v>0</v>
      </c>
      <c r="BI41" s="94">
        <f t="shared" si="53"/>
        <v>7761.4617827986667</v>
      </c>
      <c r="BJ41" s="95">
        <f t="shared" si="54"/>
        <v>0</v>
      </c>
      <c r="BK41" s="96">
        <f t="shared" si="55"/>
        <v>0</v>
      </c>
      <c r="BL41" s="87">
        <v>1307.92</v>
      </c>
      <c r="BM41" s="88"/>
      <c r="BN41" s="88"/>
      <c r="BO41" s="89"/>
      <c r="BP41" s="62">
        <f t="shared" si="33"/>
        <v>6453.5417827986666</v>
      </c>
      <c r="BQ41" s="63">
        <f t="shared" si="16"/>
        <v>0</v>
      </c>
      <c r="BR41" s="64">
        <f t="shared" si="34"/>
        <v>0</v>
      </c>
      <c r="BS41" s="62">
        <f t="shared" si="17"/>
        <v>8188.6744843960005</v>
      </c>
      <c r="BT41" s="62">
        <f t="shared" si="17"/>
        <v>0</v>
      </c>
      <c r="BU41" s="100">
        <f t="shared" si="17"/>
        <v>0</v>
      </c>
      <c r="BV41" s="62">
        <f t="shared" si="35"/>
        <v>0</v>
      </c>
      <c r="BW41" s="63">
        <f t="shared" si="35"/>
        <v>0</v>
      </c>
      <c r="BX41" s="64">
        <f t="shared" si="35"/>
        <v>0</v>
      </c>
      <c r="BY41" s="62">
        <f t="shared" si="35"/>
        <v>0</v>
      </c>
      <c r="BZ41" s="62">
        <f t="shared" si="19"/>
        <v>0</v>
      </c>
      <c r="CA41" s="100">
        <f t="shared" si="19"/>
        <v>0</v>
      </c>
      <c r="CB41" s="101">
        <f t="shared" si="60"/>
        <v>-27.841493246946399</v>
      </c>
      <c r="CC41" s="101">
        <f t="shared" si="60"/>
        <v>0</v>
      </c>
      <c r="CD41" s="102">
        <f t="shared" si="60"/>
        <v>0</v>
      </c>
      <c r="CE41" s="62">
        <f t="shared" si="36"/>
        <v>8160.8329911490537</v>
      </c>
      <c r="CF41" s="63">
        <f t="shared" si="20"/>
        <v>0</v>
      </c>
      <c r="CG41" s="64">
        <f t="shared" si="20"/>
        <v>0</v>
      </c>
      <c r="CH41" s="94">
        <f t="shared" si="56"/>
        <v>7900.2883539825734</v>
      </c>
      <c r="CI41" s="95">
        <f t="shared" si="57"/>
        <v>0</v>
      </c>
      <c r="CJ41" s="96">
        <f t="shared" si="58"/>
        <v>0</v>
      </c>
      <c r="CK41" s="87">
        <v>1307.92</v>
      </c>
      <c r="CL41" s="88"/>
      <c r="CM41" s="88"/>
      <c r="CN41" s="89"/>
      <c r="CO41" s="62">
        <f t="shared" si="37"/>
        <v>6592.3683539825734</v>
      </c>
      <c r="CP41" s="63">
        <f t="shared" si="24"/>
        <v>0</v>
      </c>
      <c r="CQ41" s="64">
        <f t="shared" si="38"/>
        <v>0</v>
      </c>
    </row>
    <row r="42" spans="1:95" ht="14.5" x14ac:dyDescent="0.35">
      <c r="A42" s="61" t="s">
        <v>407</v>
      </c>
      <c r="B42" s="87">
        <v>1957.93</v>
      </c>
      <c r="C42" s="88">
        <v>21.96</v>
      </c>
      <c r="D42" s="89">
        <v>115.11</v>
      </c>
      <c r="E42" s="87">
        <v>1957.9300189999997</v>
      </c>
      <c r="F42" s="88">
        <v>21.959999999999994</v>
      </c>
      <c r="G42" s="89">
        <v>115.11</v>
      </c>
      <c r="H42" s="87">
        <v>0</v>
      </c>
      <c r="I42" s="88">
        <v>0</v>
      </c>
      <c r="J42" s="89">
        <v>0</v>
      </c>
      <c r="K42" s="87">
        <v>0</v>
      </c>
      <c r="L42" s="88">
        <v>0</v>
      </c>
      <c r="M42" s="89">
        <v>0</v>
      </c>
      <c r="N42" s="87">
        <v>18.89</v>
      </c>
      <c r="O42" s="88">
        <v>28.04</v>
      </c>
      <c r="P42" s="89">
        <v>-41.87</v>
      </c>
      <c r="Q42" s="62">
        <f t="shared" si="25"/>
        <v>1976.8200189999998</v>
      </c>
      <c r="R42" s="63">
        <f t="shared" si="0"/>
        <v>49.999999999999993</v>
      </c>
      <c r="S42" s="64">
        <f t="shared" si="0"/>
        <v>73.240000000000009</v>
      </c>
      <c r="T42" s="62">
        <f t="shared" si="26"/>
        <v>1976.8200189999998</v>
      </c>
      <c r="U42" s="63">
        <f t="shared" si="1"/>
        <v>49.999999999999993</v>
      </c>
      <c r="V42" s="64">
        <f t="shared" si="1"/>
        <v>73.240000000000009</v>
      </c>
      <c r="W42" s="62">
        <f t="shared" si="27"/>
        <v>0</v>
      </c>
      <c r="X42" s="63">
        <f t="shared" si="2"/>
        <v>0</v>
      </c>
      <c r="Y42" s="64">
        <f t="shared" si="2"/>
        <v>0</v>
      </c>
      <c r="Z42" s="103">
        <v>0</v>
      </c>
      <c r="AA42" s="103">
        <v>0</v>
      </c>
      <c r="AB42" s="103">
        <v>0</v>
      </c>
      <c r="AC42" s="104">
        <v>18.89</v>
      </c>
      <c r="AD42" s="104">
        <v>28.04</v>
      </c>
      <c r="AE42" s="104">
        <v>-41.87</v>
      </c>
      <c r="AF42" s="62">
        <f t="shared" si="28"/>
        <v>1995.7100189999999</v>
      </c>
      <c r="AG42" s="63">
        <f t="shared" si="3"/>
        <v>78.039999999999992</v>
      </c>
      <c r="AH42" s="64">
        <f t="shared" si="3"/>
        <v>31.370000000000012</v>
      </c>
      <c r="AI42" s="94">
        <f t="shared" si="29"/>
        <v>1976.8200126666668</v>
      </c>
      <c r="AJ42" s="95">
        <f t="shared" si="4"/>
        <v>50</v>
      </c>
      <c r="AK42" s="96">
        <f t="shared" si="4"/>
        <v>73.240000000000009</v>
      </c>
      <c r="AL42" s="97">
        <v>60.31</v>
      </c>
      <c r="AM42" s="98"/>
      <c r="AN42" s="98">
        <v>890.02</v>
      </c>
      <c r="AO42" s="99">
        <v>0</v>
      </c>
      <c r="AP42" s="62">
        <f t="shared" si="30"/>
        <v>1026.4900126666669</v>
      </c>
      <c r="AQ42" s="63">
        <f t="shared" si="30"/>
        <v>50</v>
      </c>
      <c r="AR42" s="63">
        <f t="shared" si="31"/>
        <v>73.240000000000009</v>
      </c>
      <c r="AS42" s="64">
        <f t="shared" si="5"/>
        <v>31.370000000000012</v>
      </c>
      <c r="AT42" s="62">
        <f t="shared" si="47"/>
        <v>1995.7100189999999</v>
      </c>
      <c r="AU42" s="62">
        <f t="shared" si="48"/>
        <v>78.039999999999992</v>
      </c>
      <c r="AV42" s="100">
        <f t="shared" si="49"/>
        <v>31.370000000000012</v>
      </c>
      <c r="AW42" s="62">
        <f t="shared" si="50"/>
        <v>0</v>
      </c>
      <c r="AX42" s="63">
        <f t="shared" si="51"/>
        <v>0</v>
      </c>
      <c r="AY42" s="64">
        <f t="shared" si="52"/>
        <v>0</v>
      </c>
      <c r="AZ42" s="87">
        <v>0</v>
      </c>
      <c r="BA42" s="88">
        <v>0</v>
      </c>
      <c r="BB42" s="89">
        <v>0</v>
      </c>
      <c r="BC42" s="87">
        <v>18.89</v>
      </c>
      <c r="BD42" s="88">
        <v>28.04</v>
      </c>
      <c r="BE42" s="89">
        <v>-41.87</v>
      </c>
      <c r="BF42" s="62">
        <f t="shared" si="32"/>
        <v>2014.600019</v>
      </c>
      <c r="BG42" s="63">
        <f t="shared" si="12"/>
        <v>106.07999999999998</v>
      </c>
      <c r="BH42" s="64">
        <f t="shared" si="12"/>
        <v>-10.499999999999986</v>
      </c>
      <c r="BI42" s="94">
        <f t="shared" si="53"/>
        <v>1995.7100190000001</v>
      </c>
      <c r="BJ42" s="95">
        <f t="shared" si="54"/>
        <v>78.039999999999992</v>
      </c>
      <c r="BK42" s="96">
        <f t="shared" si="55"/>
        <v>31.370000000000008</v>
      </c>
      <c r="BL42" s="87">
        <v>60.31</v>
      </c>
      <c r="BM42" s="88"/>
      <c r="BN42" s="88">
        <v>890.02</v>
      </c>
      <c r="BO42" s="89">
        <v>0</v>
      </c>
      <c r="BP42" s="62">
        <f t="shared" si="33"/>
        <v>1045.3800190000002</v>
      </c>
      <c r="BQ42" s="63">
        <f t="shared" si="16"/>
        <v>78.039999999999992</v>
      </c>
      <c r="BR42" s="64">
        <f t="shared" si="34"/>
        <v>31.370000000000008</v>
      </c>
      <c r="BS42" s="62">
        <f t="shared" si="17"/>
        <v>2014.600019</v>
      </c>
      <c r="BT42" s="62">
        <f t="shared" si="17"/>
        <v>106.07999999999998</v>
      </c>
      <c r="BU42" s="100">
        <f t="shared" si="17"/>
        <v>-10.499999999999986</v>
      </c>
      <c r="BV42" s="62">
        <f t="shared" si="35"/>
        <v>0</v>
      </c>
      <c r="BW42" s="63">
        <f t="shared" si="35"/>
        <v>0</v>
      </c>
      <c r="BX42" s="64">
        <f t="shared" si="35"/>
        <v>0</v>
      </c>
      <c r="BY42" s="62">
        <f t="shared" si="35"/>
        <v>0</v>
      </c>
      <c r="BZ42" s="62">
        <f t="shared" si="19"/>
        <v>0</v>
      </c>
      <c r="CA42" s="100">
        <f t="shared" si="19"/>
        <v>0</v>
      </c>
      <c r="CB42" s="62">
        <f t="shared" si="19"/>
        <v>18.89</v>
      </c>
      <c r="CC42" s="62">
        <f t="shared" si="19"/>
        <v>28.04</v>
      </c>
      <c r="CD42" s="100">
        <f t="shared" si="19"/>
        <v>-41.87</v>
      </c>
      <c r="CE42" s="62">
        <f t="shared" si="36"/>
        <v>2033.4900190000001</v>
      </c>
      <c r="CF42" s="63">
        <f t="shared" si="20"/>
        <v>134.11999999999998</v>
      </c>
      <c r="CG42" s="64">
        <f t="shared" si="20"/>
        <v>-52.369999999999983</v>
      </c>
      <c r="CH42" s="94">
        <f t="shared" si="56"/>
        <v>2002.0066835555556</v>
      </c>
      <c r="CI42" s="95">
        <f t="shared" si="57"/>
        <v>87.386666666666656</v>
      </c>
      <c r="CJ42" s="96">
        <f t="shared" si="58"/>
        <v>17.413333333333345</v>
      </c>
      <c r="CK42" s="87">
        <v>60.31</v>
      </c>
      <c r="CL42" s="88"/>
      <c r="CM42" s="88">
        <v>890.02</v>
      </c>
      <c r="CN42" s="89">
        <v>0</v>
      </c>
      <c r="CO42" s="62">
        <f t="shared" si="37"/>
        <v>1051.6766835555557</v>
      </c>
      <c r="CP42" s="63">
        <f t="shared" si="24"/>
        <v>87.386666666666656</v>
      </c>
      <c r="CQ42" s="64">
        <f t="shared" si="38"/>
        <v>17.413333333333345</v>
      </c>
    </row>
    <row r="43" spans="1:95" ht="14.5" x14ac:dyDescent="0.35">
      <c r="A43" s="61" t="s">
        <v>408</v>
      </c>
      <c r="B43" s="87">
        <v>17424.79</v>
      </c>
      <c r="C43" s="88">
        <v>289.81</v>
      </c>
      <c r="D43" s="89">
        <v>504.25</v>
      </c>
      <c r="E43" s="87">
        <v>17424.789972000002</v>
      </c>
      <c r="F43" s="88">
        <v>289.81</v>
      </c>
      <c r="G43" s="89">
        <v>504.25</v>
      </c>
      <c r="H43" s="87">
        <v>0</v>
      </c>
      <c r="I43" s="88">
        <v>0</v>
      </c>
      <c r="J43" s="89">
        <v>0</v>
      </c>
      <c r="K43" s="87">
        <v>0</v>
      </c>
      <c r="L43" s="88">
        <v>0</v>
      </c>
      <c r="M43" s="89">
        <v>0</v>
      </c>
      <c r="N43" s="87">
        <v>-392.05</v>
      </c>
      <c r="O43" s="88">
        <v>-16.690000000000001</v>
      </c>
      <c r="P43" s="89">
        <v>-69</v>
      </c>
      <c r="Q43" s="62">
        <f t="shared" si="25"/>
        <v>17032.739972000003</v>
      </c>
      <c r="R43" s="63">
        <f t="shared" si="0"/>
        <v>273.12</v>
      </c>
      <c r="S43" s="64">
        <f t="shared" si="0"/>
        <v>435.25</v>
      </c>
      <c r="T43" s="62">
        <f t="shared" si="26"/>
        <v>17032.739972000003</v>
      </c>
      <c r="U43" s="63">
        <f t="shared" si="1"/>
        <v>273.12</v>
      </c>
      <c r="V43" s="64">
        <f t="shared" si="1"/>
        <v>435.25</v>
      </c>
      <c r="W43" s="62">
        <f t="shared" si="27"/>
        <v>0</v>
      </c>
      <c r="X43" s="63">
        <f t="shared" si="2"/>
        <v>0</v>
      </c>
      <c r="Y43" s="64">
        <f t="shared" si="2"/>
        <v>0</v>
      </c>
      <c r="Z43" s="103">
        <v>0</v>
      </c>
      <c r="AA43" s="103">
        <v>0</v>
      </c>
      <c r="AB43" s="103">
        <v>0</v>
      </c>
      <c r="AC43" s="104">
        <v>-392.05</v>
      </c>
      <c r="AD43" s="104">
        <v>-16.690000000000001</v>
      </c>
      <c r="AE43" s="104">
        <v>-69</v>
      </c>
      <c r="AF43" s="62">
        <f t="shared" si="28"/>
        <v>16640.689972000004</v>
      </c>
      <c r="AG43" s="63">
        <f t="shared" si="3"/>
        <v>256.43</v>
      </c>
      <c r="AH43" s="64">
        <f t="shared" si="3"/>
        <v>366.25</v>
      </c>
      <c r="AI43" s="94">
        <f t="shared" si="29"/>
        <v>17032.739981333336</v>
      </c>
      <c r="AJ43" s="95">
        <f t="shared" si="4"/>
        <v>273.12000000000006</v>
      </c>
      <c r="AK43" s="96">
        <f t="shared" si="4"/>
        <v>435.25</v>
      </c>
      <c r="AL43" s="97">
        <v>453.88</v>
      </c>
      <c r="AM43" s="98"/>
      <c r="AN43" s="98"/>
      <c r="AO43" s="99"/>
      <c r="AP43" s="62">
        <f t="shared" si="30"/>
        <v>16578.859981333335</v>
      </c>
      <c r="AQ43" s="63">
        <f t="shared" si="30"/>
        <v>273.12000000000006</v>
      </c>
      <c r="AR43" s="63">
        <f t="shared" si="31"/>
        <v>435.25</v>
      </c>
      <c r="AS43" s="64">
        <f t="shared" si="5"/>
        <v>366.25</v>
      </c>
      <c r="AT43" s="62">
        <f t="shared" si="47"/>
        <v>16640.689972000004</v>
      </c>
      <c r="AU43" s="62">
        <f t="shared" si="48"/>
        <v>256.43</v>
      </c>
      <c r="AV43" s="100">
        <f t="shared" si="49"/>
        <v>366.25</v>
      </c>
      <c r="AW43" s="62">
        <f t="shared" si="50"/>
        <v>0</v>
      </c>
      <c r="AX43" s="63">
        <f t="shared" si="51"/>
        <v>0</v>
      </c>
      <c r="AY43" s="64">
        <f t="shared" si="52"/>
        <v>0</v>
      </c>
      <c r="AZ43" s="87">
        <v>0</v>
      </c>
      <c r="BA43" s="88">
        <v>0</v>
      </c>
      <c r="BB43" s="89">
        <v>0</v>
      </c>
      <c r="BC43" s="87">
        <v>-392.05</v>
      </c>
      <c r="BD43" s="88">
        <v>-16.690000000000001</v>
      </c>
      <c r="BE43" s="89">
        <v>-69</v>
      </c>
      <c r="BF43" s="62">
        <f t="shared" si="32"/>
        <v>16248.639972000004</v>
      </c>
      <c r="BG43" s="63">
        <f t="shared" si="12"/>
        <v>239.74</v>
      </c>
      <c r="BH43" s="64">
        <f t="shared" si="12"/>
        <v>297.25</v>
      </c>
      <c r="BI43" s="94">
        <f t="shared" si="53"/>
        <v>16640.689972000004</v>
      </c>
      <c r="BJ43" s="95">
        <f t="shared" si="54"/>
        <v>256.43</v>
      </c>
      <c r="BK43" s="96">
        <f t="shared" si="55"/>
        <v>366.25</v>
      </c>
      <c r="BL43" s="87">
        <v>453.88</v>
      </c>
      <c r="BM43" s="88"/>
      <c r="BN43" s="88"/>
      <c r="BO43" s="89"/>
      <c r="BP43" s="62">
        <f t="shared" si="33"/>
        <v>16186.809972000005</v>
      </c>
      <c r="BQ43" s="63">
        <f t="shared" si="16"/>
        <v>256.43</v>
      </c>
      <c r="BR43" s="64">
        <f t="shared" si="34"/>
        <v>366.25</v>
      </c>
      <c r="BS43" s="62">
        <f t="shared" si="17"/>
        <v>16248.639972000004</v>
      </c>
      <c r="BT43" s="62">
        <f t="shared" si="17"/>
        <v>239.74</v>
      </c>
      <c r="BU43" s="100">
        <f t="shared" si="17"/>
        <v>297.25</v>
      </c>
      <c r="BV43" s="62">
        <f t="shared" si="35"/>
        <v>0</v>
      </c>
      <c r="BW43" s="63">
        <f t="shared" si="35"/>
        <v>0</v>
      </c>
      <c r="BX43" s="64">
        <f t="shared" si="35"/>
        <v>0</v>
      </c>
      <c r="BY43" s="62">
        <f t="shared" si="35"/>
        <v>0</v>
      </c>
      <c r="BZ43" s="62">
        <f t="shared" si="19"/>
        <v>0</v>
      </c>
      <c r="CA43" s="100">
        <f t="shared" si="19"/>
        <v>0</v>
      </c>
      <c r="CB43" s="62">
        <f t="shared" si="19"/>
        <v>-392.05</v>
      </c>
      <c r="CC43" s="62">
        <f t="shared" si="19"/>
        <v>-16.690000000000001</v>
      </c>
      <c r="CD43" s="100">
        <f t="shared" si="19"/>
        <v>-69</v>
      </c>
      <c r="CE43" s="62">
        <f t="shared" si="36"/>
        <v>15856.589972000005</v>
      </c>
      <c r="CF43" s="63">
        <f t="shared" si="20"/>
        <v>223.05</v>
      </c>
      <c r="CG43" s="64">
        <f t="shared" si="20"/>
        <v>228.25</v>
      </c>
      <c r="CH43" s="94">
        <f t="shared" si="56"/>
        <v>16510.006641777782</v>
      </c>
      <c r="CI43" s="95">
        <f t="shared" si="57"/>
        <v>250.8666666666667</v>
      </c>
      <c r="CJ43" s="96">
        <f t="shared" si="58"/>
        <v>343.25</v>
      </c>
      <c r="CK43" s="87">
        <v>453.88</v>
      </c>
      <c r="CL43" s="88"/>
      <c r="CM43" s="88"/>
      <c r="CN43" s="89"/>
      <c r="CO43" s="62">
        <f t="shared" si="37"/>
        <v>16056.126641777782</v>
      </c>
      <c r="CP43" s="63">
        <f t="shared" si="24"/>
        <v>250.8666666666667</v>
      </c>
      <c r="CQ43" s="64">
        <f t="shared" si="38"/>
        <v>343.25</v>
      </c>
    </row>
    <row r="44" spans="1:95" ht="14.5" x14ac:dyDescent="0.35">
      <c r="A44" s="61" t="s">
        <v>409</v>
      </c>
      <c r="B44" s="87">
        <v>22765.3</v>
      </c>
      <c r="C44" s="88">
        <v>166.57</v>
      </c>
      <c r="D44" s="89">
        <v>1056.3499999999999</v>
      </c>
      <c r="E44" s="87">
        <v>22765.300016000001</v>
      </c>
      <c r="F44" s="88">
        <v>166.57000000000016</v>
      </c>
      <c r="G44" s="89">
        <v>1056.3499999999999</v>
      </c>
      <c r="H44" s="87">
        <v>283.23</v>
      </c>
      <c r="I44" s="88">
        <v>-1.9</v>
      </c>
      <c r="J44" s="89">
        <v>-41.45</v>
      </c>
      <c r="K44" s="87">
        <v>0</v>
      </c>
      <c r="L44" s="88">
        <v>0</v>
      </c>
      <c r="M44" s="89">
        <v>0</v>
      </c>
      <c r="N44" s="87">
        <v>0</v>
      </c>
      <c r="O44" s="88">
        <v>0</v>
      </c>
      <c r="P44" s="89">
        <v>0</v>
      </c>
      <c r="Q44" s="62">
        <f t="shared" si="25"/>
        <v>23048.530016000001</v>
      </c>
      <c r="R44" s="63">
        <f t="shared" si="0"/>
        <v>164.67000000000016</v>
      </c>
      <c r="S44" s="64">
        <f t="shared" si="0"/>
        <v>1014.8999999999999</v>
      </c>
      <c r="T44" s="62">
        <f t="shared" si="26"/>
        <v>23048.530016000001</v>
      </c>
      <c r="U44" s="63">
        <f t="shared" si="1"/>
        <v>164.67000000000016</v>
      </c>
      <c r="V44" s="64">
        <f t="shared" si="1"/>
        <v>1014.8999999999999</v>
      </c>
      <c r="W44" s="62">
        <f t="shared" si="27"/>
        <v>283.23</v>
      </c>
      <c r="X44" s="63">
        <f t="shared" si="2"/>
        <v>-1.9</v>
      </c>
      <c r="Y44" s="64">
        <f t="shared" si="2"/>
        <v>-41.45</v>
      </c>
      <c r="Z44" s="103">
        <v>0</v>
      </c>
      <c r="AA44" s="103">
        <v>0</v>
      </c>
      <c r="AB44" s="103">
        <v>0</v>
      </c>
      <c r="AC44" s="92">
        <v>0</v>
      </c>
      <c r="AD44" s="92">
        <v>0</v>
      </c>
      <c r="AE44" s="92">
        <v>0</v>
      </c>
      <c r="AF44" s="62">
        <f t="shared" si="28"/>
        <v>23331.760016</v>
      </c>
      <c r="AG44" s="63">
        <f t="shared" si="3"/>
        <v>162.77000000000015</v>
      </c>
      <c r="AH44" s="64">
        <f t="shared" si="3"/>
        <v>973.44999999999982</v>
      </c>
      <c r="AI44" s="94">
        <f t="shared" si="29"/>
        <v>22954.120010666669</v>
      </c>
      <c r="AJ44" s="95">
        <f t="shared" si="4"/>
        <v>165.30333333333343</v>
      </c>
      <c r="AK44" s="96">
        <f t="shared" si="4"/>
        <v>1028.7166666666665</v>
      </c>
      <c r="AL44" s="97">
        <v>253.03</v>
      </c>
      <c r="AM44" s="98"/>
      <c r="AN44" s="98"/>
      <c r="AO44" s="99"/>
      <c r="AP44" s="62">
        <f t="shared" si="30"/>
        <v>22984.32001066667</v>
      </c>
      <c r="AQ44" s="63">
        <f t="shared" si="30"/>
        <v>163.40333333333342</v>
      </c>
      <c r="AR44" s="63">
        <f t="shared" si="31"/>
        <v>987.26666666666642</v>
      </c>
      <c r="AS44" s="64">
        <f t="shared" si="5"/>
        <v>973.44999999999982</v>
      </c>
      <c r="AT44" s="62">
        <f t="shared" si="47"/>
        <v>23331.760016</v>
      </c>
      <c r="AU44" s="62">
        <f t="shared" si="48"/>
        <v>162.77000000000015</v>
      </c>
      <c r="AV44" s="100">
        <f t="shared" si="49"/>
        <v>973.44999999999982</v>
      </c>
      <c r="AW44" s="62">
        <f t="shared" si="50"/>
        <v>283.23</v>
      </c>
      <c r="AX44" s="63">
        <f t="shared" si="51"/>
        <v>-1.9</v>
      </c>
      <c r="AY44" s="64">
        <f t="shared" si="52"/>
        <v>-41.45</v>
      </c>
      <c r="AZ44" s="62">
        <f t="shared" ref="AZ44:BB46" si="61">+Z44</f>
        <v>0</v>
      </c>
      <c r="BA44" s="63">
        <f t="shared" si="61"/>
        <v>0</v>
      </c>
      <c r="BB44" s="64">
        <f t="shared" si="61"/>
        <v>0</v>
      </c>
      <c r="BC44" s="87">
        <v>0</v>
      </c>
      <c r="BD44" s="88">
        <v>0</v>
      </c>
      <c r="BE44" s="89">
        <v>0</v>
      </c>
      <c r="BF44" s="62">
        <f t="shared" si="32"/>
        <v>23614.990016</v>
      </c>
      <c r="BG44" s="63">
        <f t="shared" si="12"/>
        <v>160.87000000000015</v>
      </c>
      <c r="BH44" s="64">
        <f t="shared" si="12"/>
        <v>931.99999999999977</v>
      </c>
      <c r="BI44" s="94">
        <f t="shared" si="53"/>
        <v>23237.350016</v>
      </c>
      <c r="BJ44" s="95">
        <f t="shared" si="54"/>
        <v>163.40333333333345</v>
      </c>
      <c r="BK44" s="96">
        <f t="shared" si="55"/>
        <v>987.26666666666642</v>
      </c>
      <c r="BL44" s="87">
        <v>253.03</v>
      </c>
      <c r="BM44" s="88"/>
      <c r="BN44" s="88"/>
      <c r="BO44" s="89"/>
      <c r="BP44" s="62">
        <f t="shared" si="33"/>
        <v>23267.550016000001</v>
      </c>
      <c r="BQ44" s="63">
        <f t="shared" si="16"/>
        <v>161.50333333333344</v>
      </c>
      <c r="BR44" s="64">
        <f t="shared" si="34"/>
        <v>945.81666666666638</v>
      </c>
      <c r="BS44" s="62">
        <f t="shared" si="17"/>
        <v>23614.990016</v>
      </c>
      <c r="BT44" s="62">
        <f t="shared" si="17"/>
        <v>160.87000000000015</v>
      </c>
      <c r="BU44" s="100">
        <f t="shared" si="17"/>
        <v>931.99999999999977</v>
      </c>
      <c r="BV44" s="62">
        <f t="shared" si="35"/>
        <v>283.23</v>
      </c>
      <c r="BW44" s="63">
        <f t="shared" si="35"/>
        <v>-1.9</v>
      </c>
      <c r="BX44" s="64">
        <f t="shared" si="35"/>
        <v>-41.45</v>
      </c>
      <c r="BY44" s="62">
        <f t="shared" si="35"/>
        <v>0</v>
      </c>
      <c r="BZ44" s="62">
        <f t="shared" si="19"/>
        <v>0</v>
      </c>
      <c r="CA44" s="100">
        <f t="shared" si="19"/>
        <v>0</v>
      </c>
      <c r="CB44" s="62">
        <f t="shared" si="19"/>
        <v>0</v>
      </c>
      <c r="CC44" s="62">
        <f t="shared" si="19"/>
        <v>0</v>
      </c>
      <c r="CD44" s="100">
        <f t="shared" si="19"/>
        <v>0</v>
      </c>
      <c r="CE44" s="62">
        <f t="shared" si="36"/>
        <v>23898.220015999999</v>
      </c>
      <c r="CF44" s="63">
        <f t="shared" si="20"/>
        <v>158.97000000000014</v>
      </c>
      <c r="CG44" s="64">
        <f t="shared" si="20"/>
        <v>890.54999999999973</v>
      </c>
      <c r="CH44" s="94">
        <f t="shared" si="56"/>
        <v>23457.640014222226</v>
      </c>
      <c r="CI44" s="95">
        <f t="shared" si="57"/>
        <v>161.92555555555566</v>
      </c>
      <c r="CJ44" s="96">
        <f t="shared" si="58"/>
        <v>955.02777777777737</v>
      </c>
      <c r="CK44" s="87">
        <v>253.03</v>
      </c>
      <c r="CL44" s="88"/>
      <c r="CM44" s="88"/>
      <c r="CN44" s="89"/>
      <c r="CO44" s="62">
        <f t="shared" si="37"/>
        <v>23487.840014222227</v>
      </c>
      <c r="CP44" s="63">
        <f t="shared" si="24"/>
        <v>160.02555555555566</v>
      </c>
      <c r="CQ44" s="64">
        <f t="shared" si="38"/>
        <v>913.57777777777733</v>
      </c>
    </row>
    <row r="45" spans="1:95" ht="14.5" x14ac:dyDescent="0.35">
      <c r="A45" s="61" t="s">
        <v>410</v>
      </c>
      <c r="B45" s="87">
        <v>15624.75</v>
      </c>
      <c r="C45" s="88">
        <v>143.57</v>
      </c>
      <c r="D45" s="89">
        <v>0</v>
      </c>
      <c r="E45" s="87">
        <v>15624.749999999996</v>
      </c>
      <c r="F45" s="88">
        <v>143.57</v>
      </c>
      <c r="G45" s="89">
        <v>0</v>
      </c>
      <c r="H45" s="87">
        <v>63.134999999999998</v>
      </c>
      <c r="I45" s="88">
        <v>-58.29</v>
      </c>
      <c r="J45" s="89">
        <v>0</v>
      </c>
      <c r="K45" s="87">
        <v>3721.4650000000001</v>
      </c>
      <c r="L45" s="88">
        <v>0</v>
      </c>
      <c r="M45" s="89">
        <v>0</v>
      </c>
      <c r="N45" s="87">
        <v>0</v>
      </c>
      <c r="O45" s="88">
        <v>0</v>
      </c>
      <c r="P45" s="89">
        <v>0</v>
      </c>
      <c r="Q45" s="62">
        <f t="shared" si="25"/>
        <v>19409.349999999999</v>
      </c>
      <c r="R45" s="63">
        <f t="shared" si="0"/>
        <v>85.28</v>
      </c>
      <c r="S45" s="64">
        <f t="shared" si="0"/>
        <v>0</v>
      </c>
      <c r="T45" s="62">
        <f t="shared" si="26"/>
        <v>19409.349999999999</v>
      </c>
      <c r="U45" s="63">
        <f t="shared" si="1"/>
        <v>85.28</v>
      </c>
      <c r="V45" s="64">
        <f t="shared" si="1"/>
        <v>0</v>
      </c>
      <c r="W45" s="62">
        <f t="shared" si="27"/>
        <v>63.134999999999998</v>
      </c>
      <c r="X45" s="63">
        <f t="shared" si="2"/>
        <v>-58.29</v>
      </c>
      <c r="Y45" s="64">
        <f t="shared" si="2"/>
        <v>0</v>
      </c>
      <c r="Z45" s="103">
        <v>0</v>
      </c>
      <c r="AA45" s="103">
        <v>0</v>
      </c>
      <c r="AB45" s="103">
        <v>0</v>
      </c>
      <c r="AC45" s="108">
        <v>-65.991789999999995</v>
      </c>
      <c r="AD45" s="108">
        <v>-0.28995199999999999</v>
      </c>
      <c r="AE45" s="108">
        <v>0</v>
      </c>
      <c r="AF45" s="62">
        <f t="shared" si="28"/>
        <v>19406.493209999997</v>
      </c>
      <c r="AG45" s="63">
        <f t="shared" si="3"/>
        <v>26.700048000000002</v>
      </c>
      <c r="AH45" s="64">
        <f t="shared" si="3"/>
        <v>0</v>
      </c>
      <c r="AI45" s="94">
        <f t="shared" si="29"/>
        <v>18125.819403333331</v>
      </c>
      <c r="AJ45" s="95">
        <f t="shared" si="4"/>
        <v>104.61334933333335</v>
      </c>
      <c r="AK45" s="96">
        <f t="shared" si="4"/>
        <v>0</v>
      </c>
      <c r="AL45" s="97">
        <v>1093.24</v>
      </c>
      <c r="AM45" s="98"/>
      <c r="AN45" s="98"/>
      <c r="AO45" s="99"/>
      <c r="AP45" s="62">
        <f t="shared" si="30"/>
        <v>17095.714403333328</v>
      </c>
      <c r="AQ45" s="63">
        <f t="shared" si="30"/>
        <v>46.323349333333347</v>
      </c>
      <c r="AR45" s="63">
        <f t="shared" si="31"/>
        <v>0</v>
      </c>
      <c r="AS45" s="64">
        <f t="shared" si="5"/>
        <v>0</v>
      </c>
      <c r="AT45" s="62">
        <f t="shared" si="47"/>
        <v>19406.493209999997</v>
      </c>
      <c r="AU45" s="62">
        <f t="shared" si="48"/>
        <v>26.700048000000002</v>
      </c>
      <c r="AV45" s="100">
        <f t="shared" si="49"/>
        <v>0</v>
      </c>
      <c r="AW45" s="62">
        <f t="shared" si="50"/>
        <v>63.134999999999998</v>
      </c>
      <c r="AX45" s="63">
        <f t="shared" si="51"/>
        <v>-58.29</v>
      </c>
      <c r="AY45" s="64">
        <f t="shared" si="52"/>
        <v>0</v>
      </c>
      <c r="AZ45" s="62">
        <f t="shared" si="61"/>
        <v>0</v>
      </c>
      <c r="BA45" s="63">
        <f t="shared" si="61"/>
        <v>0</v>
      </c>
      <c r="BB45" s="64">
        <f t="shared" si="61"/>
        <v>0</v>
      </c>
      <c r="BC45" s="87">
        <v>-65.98207691399999</v>
      </c>
      <c r="BD45" s="88">
        <v>-9.07801632E-2</v>
      </c>
      <c r="BE45" s="89">
        <v>0</v>
      </c>
      <c r="BF45" s="62">
        <f t="shared" si="32"/>
        <v>19403.646133085997</v>
      </c>
      <c r="BG45" s="63">
        <f t="shared" si="12"/>
        <v>-31.680732163199998</v>
      </c>
      <c r="BH45" s="64">
        <f t="shared" si="12"/>
        <v>0</v>
      </c>
      <c r="BI45" s="94">
        <f t="shared" si="53"/>
        <v>19385.45144769533</v>
      </c>
      <c r="BJ45" s="95">
        <f t="shared" si="54"/>
        <v>46.196438612266668</v>
      </c>
      <c r="BK45" s="96">
        <f t="shared" si="55"/>
        <v>0</v>
      </c>
      <c r="BL45" s="87">
        <v>1093.24</v>
      </c>
      <c r="BM45" s="88"/>
      <c r="BN45" s="88"/>
      <c r="BO45" s="89"/>
      <c r="BP45" s="62">
        <f t="shared" si="33"/>
        <v>18355.346447695327</v>
      </c>
      <c r="BQ45" s="63">
        <f t="shared" si="16"/>
        <v>-12.093561387733331</v>
      </c>
      <c r="BR45" s="64">
        <f t="shared" si="34"/>
        <v>0</v>
      </c>
      <c r="BS45" s="62">
        <f t="shared" si="17"/>
        <v>19403.646133085997</v>
      </c>
      <c r="BT45" s="62">
        <f t="shared" si="17"/>
        <v>-31.680732163199998</v>
      </c>
      <c r="BU45" s="100">
        <f t="shared" si="17"/>
        <v>0</v>
      </c>
      <c r="BV45" s="62">
        <f t="shared" si="35"/>
        <v>63.134999999999998</v>
      </c>
      <c r="BW45" s="63">
        <f t="shared" si="35"/>
        <v>-58.29</v>
      </c>
      <c r="BX45" s="64">
        <f t="shared" si="35"/>
        <v>0</v>
      </c>
      <c r="BY45" s="87">
        <v>0</v>
      </c>
      <c r="BZ45" s="88">
        <v>0</v>
      </c>
      <c r="CA45" s="89">
        <v>0</v>
      </c>
      <c r="CB45" s="101">
        <f t="shared" ref="CB45:CD48" si="62">-(BS45*0.0034)</f>
        <v>-65.972396852492381</v>
      </c>
      <c r="CC45" s="101">
        <f t="shared" si="62"/>
        <v>0.10771448935487998</v>
      </c>
      <c r="CD45" s="102">
        <f t="shared" si="62"/>
        <v>0</v>
      </c>
      <c r="CE45" s="62">
        <f t="shared" si="36"/>
        <v>19400.808736233503</v>
      </c>
      <c r="CF45" s="63">
        <f t="shared" si="20"/>
        <v>-89.863017673845121</v>
      </c>
      <c r="CG45" s="64">
        <f t="shared" si="20"/>
        <v>0</v>
      </c>
      <c r="CH45" s="94">
        <f t="shared" si="56"/>
        <v>18991.738195754053</v>
      </c>
      <c r="CI45" s="95">
        <f t="shared" si="57"/>
        <v>0.88559009058496463</v>
      </c>
      <c r="CJ45" s="96">
        <f t="shared" si="58"/>
        <v>0</v>
      </c>
      <c r="CK45" s="87">
        <v>1093.24</v>
      </c>
      <c r="CL45" s="88"/>
      <c r="CM45" s="88"/>
      <c r="CN45" s="89"/>
      <c r="CO45" s="62">
        <f t="shared" si="37"/>
        <v>17961.63319575405</v>
      </c>
      <c r="CP45" s="63">
        <f t="shared" si="24"/>
        <v>-57.404409909415037</v>
      </c>
      <c r="CQ45" s="64">
        <f t="shared" si="38"/>
        <v>0</v>
      </c>
    </row>
    <row r="46" spans="1:95" ht="14.5" x14ac:dyDescent="0.35">
      <c r="A46" s="61" t="s">
        <v>411</v>
      </c>
      <c r="B46" s="87">
        <v>21499.15</v>
      </c>
      <c r="C46" s="88">
        <v>854.66</v>
      </c>
      <c r="D46" s="89">
        <v>5163.5</v>
      </c>
      <c r="E46" s="87">
        <v>21499.15</v>
      </c>
      <c r="F46" s="88">
        <v>854.66000000000031</v>
      </c>
      <c r="G46" s="89">
        <v>5163.5000000000009</v>
      </c>
      <c r="H46" s="87">
        <v>0</v>
      </c>
      <c r="I46" s="88">
        <v>0</v>
      </c>
      <c r="J46" s="89">
        <v>22.189</v>
      </c>
      <c r="K46" s="87">
        <v>1196.1400000000001</v>
      </c>
      <c r="L46" s="88">
        <v>113.41</v>
      </c>
      <c r="M46" s="89">
        <v>158.601</v>
      </c>
      <c r="N46" s="87">
        <v>0</v>
      </c>
      <c r="O46" s="88">
        <v>0</v>
      </c>
      <c r="P46" s="89">
        <v>0</v>
      </c>
      <c r="Q46" s="62">
        <f t="shared" si="25"/>
        <v>22695.29</v>
      </c>
      <c r="R46" s="63">
        <f t="shared" si="0"/>
        <v>968.07000000000028</v>
      </c>
      <c r="S46" s="64">
        <f t="shared" si="0"/>
        <v>5344.2900000000009</v>
      </c>
      <c r="T46" s="62">
        <f t="shared" si="26"/>
        <v>22695.29</v>
      </c>
      <c r="U46" s="63">
        <f t="shared" si="1"/>
        <v>968.07000000000028</v>
      </c>
      <c r="V46" s="64">
        <f t="shared" si="1"/>
        <v>5344.2900000000009</v>
      </c>
      <c r="W46" s="62">
        <f t="shared" si="27"/>
        <v>0</v>
      </c>
      <c r="X46" s="63">
        <f t="shared" si="2"/>
        <v>0</v>
      </c>
      <c r="Y46" s="64">
        <f t="shared" si="2"/>
        <v>22.189</v>
      </c>
      <c r="Z46" s="103">
        <v>0</v>
      </c>
      <c r="AA46" s="103">
        <v>0</v>
      </c>
      <c r="AB46" s="103">
        <v>0</v>
      </c>
      <c r="AC46" s="108">
        <v>-77.163985999999994</v>
      </c>
      <c r="AD46" s="108">
        <v>-3.2914379999999999</v>
      </c>
      <c r="AE46" s="108">
        <v>-18.170586</v>
      </c>
      <c r="AF46" s="62">
        <f t="shared" si="28"/>
        <v>22618.126014000001</v>
      </c>
      <c r="AG46" s="63">
        <f t="shared" si="3"/>
        <v>964.77856200000031</v>
      </c>
      <c r="AH46" s="64">
        <f t="shared" si="3"/>
        <v>5348.308414000001</v>
      </c>
      <c r="AI46" s="94">
        <f t="shared" si="29"/>
        <v>22270.855338000005</v>
      </c>
      <c r="AJ46" s="95">
        <f t="shared" si="4"/>
        <v>929.16952066666681</v>
      </c>
      <c r="AK46" s="96">
        <f t="shared" si="4"/>
        <v>5277.9698046666672</v>
      </c>
      <c r="AL46" s="97">
        <v>1944.53</v>
      </c>
      <c r="AM46" s="98"/>
      <c r="AN46" s="98">
        <v>6.72</v>
      </c>
      <c r="AO46" s="99">
        <v>490</v>
      </c>
      <c r="AP46" s="62">
        <f t="shared" si="30"/>
        <v>20319.605338000005</v>
      </c>
      <c r="AQ46" s="63">
        <f t="shared" si="30"/>
        <v>439.16952066666681</v>
      </c>
      <c r="AR46" s="63">
        <f t="shared" si="31"/>
        <v>5300.1588046666675</v>
      </c>
      <c r="AS46" s="64">
        <f t="shared" si="5"/>
        <v>5348.308414000001</v>
      </c>
      <c r="AT46" s="62">
        <f t="shared" si="47"/>
        <v>22618.126014000001</v>
      </c>
      <c r="AU46" s="62">
        <f t="shared" si="48"/>
        <v>964.77856200000031</v>
      </c>
      <c r="AV46" s="100">
        <f t="shared" si="49"/>
        <v>5348.308414000001</v>
      </c>
      <c r="AW46" s="62">
        <f t="shared" si="50"/>
        <v>0</v>
      </c>
      <c r="AX46" s="63">
        <f t="shared" si="51"/>
        <v>0</v>
      </c>
      <c r="AY46" s="64">
        <f t="shared" si="52"/>
        <v>22.189</v>
      </c>
      <c r="AZ46" s="62">
        <f t="shared" si="61"/>
        <v>0</v>
      </c>
      <c r="BA46" s="63">
        <f t="shared" si="61"/>
        <v>0</v>
      </c>
      <c r="BB46" s="64">
        <f t="shared" si="61"/>
        <v>0</v>
      </c>
      <c r="BC46" s="87">
        <v>-76.901628447600004</v>
      </c>
      <c r="BD46" s="88">
        <v>-3.2802471108</v>
      </c>
      <c r="BE46" s="89">
        <v>-18.184248607600001</v>
      </c>
      <c r="BF46" s="62">
        <f t="shared" si="32"/>
        <v>22541.224385552403</v>
      </c>
      <c r="BG46" s="63">
        <f t="shared" si="12"/>
        <v>961.49831488920029</v>
      </c>
      <c r="BH46" s="64">
        <f t="shared" si="12"/>
        <v>5352.3131653924011</v>
      </c>
      <c r="BI46" s="94">
        <f t="shared" si="53"/>
        <v>22618.213466517467</v>
      </c>
      <c r="BJ46" s="95">
        <f t="shared" si="54"/>
        <v>964.78229229640021</v>
      </c>
      <c r="BK46" s="96">
        <f t="shared" si="55"/>
        <v>5340.9075264641342</v>
      </c>
      <c r="BL46" s="87">
        <v>1944.53</v>
      </c>
      <c r="BM46" s="88"/>
      <c r="BN46" s="88">
        <v>6.72</v>
      </c>
      <c r="BO46" s="89">
        <v>490</v>
      </c>
      <c r="BP46" s="62">
        <f t="shared" si="33"/>
        <v>20666.963466517467</v>
      </c>
      <c r="BQ46" s="63">
        <f t="shared" si="16"/>
        <v>474.78229229640021</v>
      </c>
      <c r="BR46" s="64">
        <f t="shared" si="34"/>
        <v>5363.0965264641345</v>
      </c>
      <c r="BS46" s="62">
        <f t="shared" si="17"/>
        <v>22541.224385552403</v>
      </c>
      <c r="BT46" s="62">
        <f t="shared" si="17"/>
        <v>961.49831488920029</v>
      </c>
      <c r="BU46" s="100">
        <f t="shared" si="17"/>
        <v>5352.3131653924011</v>
      </c>
      <c r="BV46" s="62">
        <f t="shared" si="35"/>
        <v>0</v>
      </c>
      <c r="BW46" s="63">
        <f t="shared" si="35"/>
        <v>0</v>
      </c>
      <c r="BX46" s="64">
        <f t="shared" si="35"/>
        <v>22.189</v>
      </c>
      <c r="BY46" s="87">
        <v>0</v>
      </c>
      <c r="BZ46" s="88">
        <v>0</v>
      </c>
      <c r="CA46" s="89">
        <v>0</v>
      </c>
      <c r="CB46" s="101">
        <f t="shared" si="62"/>
        <v>-76.640162910878161</v>
      </c>
      <c r="CC46" s="101">
        <f t="shared" si="62"/>
        <v>-3.2690942706232806</v>
      </c>
      <c r="CD46" s="102">
        <f t="shared" si="62"/>
        <v>-18.197864762334163</v>
      </c>
      <c r="CE46" s="62">
        <f t="shared" si="36"/>
        <v>22464.584222641526</v>
      </c>
      <c r="CF46" s="63">
        <f t="shared" si="20"/>
        <v>958.22922061857696</v>
      </c>
      <c r="CG46" s="64">
        <f t="shared" si="20"/>
        <v>5356.3043006300668</v>
      </c>
      <c r="CH46" s="94">
        <f t="shared" si="56"/>
        <v>22451.217675719668</v>
      </c>
      <c r="CI46" s="95">
        <f t="shared" si="57"/>
        <v>950.72701119388137</v>
      </c>
      <c r="CJ46" s="96">
        <f t="shared" si="58"/>
        <v>5332.4568772536231</v>
      </c>
      <c r="CK46" s="87">
        <v>1944.53</v>
      </c>
      <c r="CL46" s="88"/>
      <c r="CM46" s="88">
        <v>6.72</v>
      </c>
      <c r="CN46" s="89">
        <v>490</v>
      </c>
      <c r="CO46" s="62">
        <f t="shared" si="37"/>
        <v>20499.967675719668</v>
      </c>
      <c r="CP46" s="63">
        <f t="shared" si="24"/>
        <v>460.72701119388137</v>
      </c>
      <c r="CQ46" s="64">
        <f t="shared" si="38"/>
        <v>5354.6458772536234</v>
      </c>
    </row>
    <row r="47" spans="1:95" ht="14.5" x14ac:dyDescent="0.35">
      <c r="A47" s="61" t="s">
        <v>412</v>
      </c>
      <c r="B47" s="87">
        <v>3900.86</v>
      </c>
      <c r="C47" s="88">
        <v>31.84</v>
      </c>
      <c r="D47" s="89">
        <v>85.85</v>
      </c>
      <c r="E47" s="87">
        <v>3900.8599999999997</v>
      </c>
      <c r="F47" s="88">
        <v>31.840000000000003</v>
      </c>
      <c r="G47" s="89">
        <v>85.85</v>
      </c>
      <c r="H47" s="87">
        <v>0</v>
      </c>
      <c r="I47" s="88">
        <v>0</v>
      </c>
      <c r="J47" s="89">
        <v>0</v>
      </c>
      <c r="K47" s="87">
        <v>0</v>
      </c>
      <c r="L47" s="88">
        <v>0</v>
      </c>
      <c r="M47" s="89">
        <v>0</v>
      </c>
      <c r="N47" s="87">
        <v>-663.41</v>
      </c>
      <c r="O47" s="88">
        <v>84.88</v>
      </c>
      <c r="P47" s="89">
        <v>-51.09</v>
      </c>
      <c r="Q47" s="62">
        <f t="shared" si="25"/>
        <v>3237.45</v>
      </c>
      <c r="R47" s="63">
        <f t="shared" si="0"/>
        <v>116.72</v>
      </c>
      <c r="S47" s="64">
        <f t="shared" si="0"/>
        <v>34.759999999999991</v>
      </c>
      <c r="T47" s="62">
        <f t="shared" si="26"/>
        <v>3237.45</v>
      </c>
      <c r="U47" s="63">
        <f t="shared" si="1"/>
        <v>116.72</v>
      </c>
      <c r="V47" s="64">
        <f t="shared" si="1"/>
        <v>34.759999999999991</v>
      </c>
      <c r="W47" s="62">
        <f t="shared" si="27"/>
        <v>0</v>
      </c>
      <c r="X47" s="63">
        <f t="shared" si="2"/>
        <v>0</v>
      </c>
      <c r="Y47" s="64">
        <f t="shared" si="2"/>
        <v>0</v>
      </c>
      <c r="Z47" s="90">
        <v>652.40266999999994</v>
      </c>
      <c r="AA47" s="90">
        <v>-85.276848000000001</v>
      </c>
      <c r="AB47" s="90">
        <v>50.971816000000004</v>
      </c>
      <c r="AC47" s="92">
        <v>0</v>
      </c>
      <c r="AD47" s="92">
        <v>0</v>
      </c>
      <c r="AE47" s="92">
        <v>0</v>
      </c>
      <c r="AF47" s="62">
        <f t="shared" si="28"/>
        <v>3889.8526699999998</v>
      </c>
      <c r="AG47" s="63">
        <f t="shared" si="3"/>
        <v>31.443151999999998</v>
      </c>
      <c r="AH47" s="64">
        <f t="shared" si="3"/>
        <v>85.731815999999995</v>
      </c>
      <c r="AI47" s="94">
        <f t="shared" si="29"/>
        <v>3676.0542233333331</v>
      </c>
      <c r="AJ47" s="95">
        <f t="shared" si="4"/>
        <v>60.001050666666664</v>
      </c>
      <c r="AK47" s="96">
        <f t="shared" si="4"/>
        <v>68.780605333333327</v>
      </c>
      <c r="AL47" s="97">
        <v>209.78</v>
      </c>
      <c r="AM47" s="98"/>
      <c r="AN47" s="98"/>
      <c r="AO47" s="99"/>
      <c r="AP47" s="62">
        <f t="shared" si="30"/>
        <v>3466.2742233333329</v>
      </c>
      <c r="AQ47" s="63">
        <f t="shared" si="30"/>
        <v>60.001050666666664</v>
      </c>
      <c r="AR47" s="63">
        <f t="shared" si="31"/>
        <v>68.780605333333327</v>
      </c>
      <c r="AS47" s="64">
        <f t="shared" si="5"/>
        <v>85.731815999999995</v>
      </c>
      <c r="AT47" s="62">
        <f t="shared" si="47"/>
        <v>3889.8526699999998</v>
      </c>
      <c r="AU47" s="62">
        <f t="shared" si="48"/>
        <v>31.443151999999998</v>
      </c>
      <c r="AV47" s="100">
        <f t="shared" si="49"/>
        <v>85.731815999999995</v>
      </c>
      <c r="AW47" s="62">
        <f t="shared" si="50"/>
        <v>0</v>
      </c>
      <c r="AX47" s="63">
        <f t="shared" si="51"/>
        <v>0</v>
      </c>
      <c r="AY47" s="64">
        <f t="shared" si="52"/>
        <v>0</v>
      </c>
      <c r="AZ47" s="110">
        <f>+AC47</f>
        <v>0</v>
      </c>
      <c r="BA47" s="111">
        <f>+AD47</f>
        <v>0</v>
      </c>
      <c r="BB47" s="112">
        <f>+AE47</f>
        <v>0</v>
      </c>
      <c r="BC47" s="87">
        <v>-13.225499077999999</v>
      </c>
      <c r="BD47" s="88">
        <v>-0.10690671679999998</v>
      </c>
      <c r="BE47" s="89">
        <v>-0.29148817440000002</v>
      </c>
      <c r="BF47" s="62">
        <f t="shared" si="32"/>
        <v>3876.6271709219996</v>
      </c>
      <c r="BG47" s="63">
        <f t="shared" si="12"/>
        <v>31.336245283199997</v>
      </c>
      <c r="BH47" s="64">
        <f t="shared" si="12"/>
        <v>85.440327825599994</v>
      </c>
      <c r="BI47" s="94">
        <f t="shared" si="53"/>
        <v>3667.9766136406665</v>
      </c>
      <c r="BJ47" s="95">
        <f t="shared" si="54"/>
        <v>59.833132427733325</v>
      </c>
      <c r="BK47" s="96">
        <f t="shared" si="55"/>
        <v>68.64404794186666</v>
      </c>
      <c r="BL47" s="87">
        <v>209.78</v>
      </c>
      <c r="BM47" s="88"/>
      <c r="BN47" s="88"/>
      <c r="BO47" s="89"/>
      <c r="BP47" s="62">
        <f t="shared" si="33"/>
        <v>3458.1966136406663</v>
      </c>
      <c r="BQ47" s="63">
        <f t="shared" si="16"/>
        <v>59.833132427733325</v>
      </c>
      <c r="BR47" s="64">
        <f t="shared" si="34"/>
        <v>68.64404794186666</v>
      </c>
      <c r="BS47" s="62">
        <f t="shared" si="17"/>
        <v>3876.6271709219996</v>
      </c>
      <c r="BT47" s="62">
        <f t="shared" si="17"/>
        <v>31.336245283199997</v>
      </c>
      <c r="BU47" s="100">
        <f t="shared" si="17"/>
        <v>85.440327825599994</v>
      </c>
      <c r="BV47" s="62">
        <f t="shared" si="35"/>
        <v>0</v>
      </c>
      <c r="BW47" s="63">
        <f t="shared" si="35"/>
        <v>0</v>
      </c>
      <c r="BX47" s="64">
        <f t="shared" si="35"/>
        <v>0</v>
      </c>
      <c r="BY47" s="62">
        <f t="shared" si="35"/>
        <v>0</v>
      </c>
      <c r="BZ47" s="62">
        <f t="shared" si="19"/>
        <v>0</v>
      </c>
      <c r="CA47" s="100">
        <f t="shared" si="19"/>
        <v>0</v>
      </c>
      <c r="CB47" s="101">
        <f t="shared" si="62"/>
        <v>-13.180532381134798</v>
      </c>
      <c r="CC47" s="101">
        <f t="shared" si="62"/>
        <v>-0.10654323396287999</v>
      </c>
      <c r="CD47" s="102">
        <f t="shared" si="62"/>
        <v>-0.29049711460703997</v>
      </c>
      <c r="CE47" s="62">
        <f t="shared" si="36"/>
        <v>3863.4466385408646</v>
      </c>
      <c r="CF47" s="63">
        <f t="shared" si="20"/>
        <v>31.229702049237115</v>
      </c>
      <c r="CG47" s="64">
        <f t="shared" si="20"/>
        <v>85.149830710992958</v>
      </c>
      <c r="CH47" s="94">
        <f t="shared" si="56"/>
        <v>3735.8258251716215</v>
      </c>
      <c r="CI47" s="95">
        <f t="shared" si="57"/>
        <v>50.354628381212365</v>
      </c>
      <c r="CJ47" s="96">
        <f t="shared" si="58"/>
        <v>74.191494662064315</v>
      </c>
      <c r="CK47" s="87">
        <v>209.78</v>
      </c>
      <c r="CL47" s="88"/>
      <c r="CM47" s="88"/>
      <c r="CN47" s="89"/>
      <c r="CO47" s="62">
        <f t="shared" si="37"/>
        <v>3526.0458251716213</v>
      </c>
      <c r="CP47" s="63">
        <f t="shared" si="24"/>
        <v>50.354628381212365</v>
      </c>
      <c r="CQ47" s="64">
        <f t="shared" si="38"/>
        <v>74.191494662064315</v>
      </c>
    </row>
    <row r="48" spans="1:95" ht="14.5" x14ac:dyDescent="0.35">
      <c r="A48" s="61" t="s">
        <v>413</v>
      </c>
      <c r="B48" s="87">
        <v>11122.72</v>
      </c>
      <c r="C48" s="88">
        <v>462.45</v>
      </c>
      <c r="D48" s="89">
        <v>34.29</v>
      </c>
      <c r="E48" s="87">
        <v>11122.72</v>
      </c>
      <c r="F48" s="88">
        <v>462.45000000000005</v>
      </c>
      <c r="G48" s="89">
        <v>34.290000000000006</v>
      </c>
      <c r="H48" s="87">
        <v>352.46800000000002</v>
      </c>
      <c r="I48" s="88">
        <v>-30.19</v>
      </c>
      <c r="J48" s="89">
        <v>0.65</v>
      </c>
      <c r="K48" s="87">
        <v>1304.8420000000001</v>
      </c>
      <c r="L48" s="88">
        <v>0</v>
      </c>
      <c r="M48" s="89">
        <v>0</v>
      </c>
      <c r="N48" s="87">
        <v>0</v>
      </c>
      <c r="O48" s="88">
        <v>0</v>
      </c>
      <c r="P48" s="89">
        <v>0</v>
      </c>
      <c r="Q48" s="62">
        <f t="shared" si="25"/>
        <v>12780.03</v>
      </c>
      <c r="R48" s="63">
        <f t="shared" si="0"/>
        <v>432.26000000000005</v>
      </c>
      <c r="S48" s="64">
        <f t="shared" si="0"/>
        <v>34.940000000000005</v>
      </c>
      <c r="T48" s="62">
        <f t="shared" si="26"/>
        <v>12780.03</v>
      </c>
      <c r="U48" s="63">
        <f t="shared" si="1"/>
        <v>432.26000000000005</v>
      </c>
      <c r="V48" s="64">
        <f t="shared" si="1"/>
        <v>34.940000000000005</v>
      </c>
      <c r="W48" s="62">
        <f t="shared" si="27"/>
        <v>352.46800000000002</v>
      </c>
      <c r="X48" s="63">
        <f t="shared" si="2"/>
        <v>-30.19</v>
      </c>
      <c r="Y48" s="64">
        <f t="shared" si="2"/>
        <v>0.65</v>
      </c>
      <c r="Z48" s="103">
        <v>0</v>
      </c>
      <c r="AA48" s="103">
        <v>0</v>
      </c>
      <c r="AB48" s="103">
        <v>0</v>
      </c>
      <c r="AC48" s="108">
        <v>-43.452101999999996</v>
      </c>
      <c r="AD48" s="108">
        <v>-1.469684</v>
      </c>
      <c r="AE48" s="108">
        <v>-0.11879599999999998</v>
      </c>
      <c r="AF48" s="62">
        <f t="shared" si="28"/>
        <v>13089.045898000002</v>
      </c>
      <c r="AG48" s="63">
        <f t="shared" si="3"/>
        <v>400.60031600000008</v>
      </c>
      <c r="AH48" s="64">
        <f t="shared" si="3"/>
        <v>35.471204</v>
      </c>
      <c r="AI48" s="94">
        <f t="shared" si="29"/>
        <v>12213.109299333335</v>
      </c>
      <c r="AJ48" s="95">
        <f t="shared" si="4"/>
        <v>441.83343866666672</v>
      </c>
      <c r="AK48" s="96">
        <f t="shared" si="4"/>
        <v>34.683734666666666</v>
      </c>
      <c r="AL48" s="97">
        <v>287.68</v>
      </c>
      <c r="AM48" s="98"/>
      <c r="AN48" s="98"/>
      <c r="AO48" s="99"/>
      <c r="AP48" s="62">
        <f t="shared" si="30"/>
        <v>12277.897299333335</v>
      </c>
      <c r="AQ48" s="63">
        <f t="shared" si="30"/>
        <v>411.64343866666673</v>
      </c>
      <c r="AR48" s="63">
        <f t="shared" si="31"/>
        <v>35.333734666666665</v>
      </c>
      <c r="AS48" s="64">
        <f t="shared" si="5"/>
        <v>35.471204</v>
      </c>
      <c r="AT48" s="62">
        <f t="shared" si="47"/>
        <v>13089.045898000002</v>
      </c>
      <c r="AU48" s="62">
        <f t="shared" si="48"/>
        <v>400.60031600000008</v>
      </c>
      <c r="AV48" s="100">
        <f t="shared" si="49"/>
        <v>35.471204</v>
      </c>
      <c r="AW48" s="62">
        <f t="shared" si="50"/>
        <v>352.46800000000002</v>
      </c>
      <c r="AX48" s="63">
        <f t="shared" si="51"/>
        <v>-30.19</v>
      </c>
      <c r="AY48" s="64">
        <f t="shared" si="52"/>
        <v>0.65</v>
      </c>
      <c r="AZ48" s="62">
        <f t="shared" ref="AZ48:BB49" si="63">+Z48</f>
        <v>0</v>
      </c>
      <c r="BA48" s="63">
        <f t="shared" si="63"/>
        <v>0</v>
      </c>
      <c r="BB48" s="64">
        <f t="shared" si="63"/>
        <v>0</v>
      </c>
      <c r="BC48" s="87">
        <v>-44.502756053199995</v>
      </c>
      <c r="BD48" s="88">
        <v>-1.3620410743999998</v>
      </c>
      <c r="BE48" s="89">
        <v>-0.12060209359999999</v>
      </c>
      <c r="BF48" s="62">
        <f t="shared" si="32"/>
        <v>13397.011141946803</v>
      </c>
      <c r="BG48" s="63">
        <f t="shared" si="12"/>
        <v>369.04827492560008</v>
      </c>
      <c r="BH48" s="64">
        <f t="shared" si="12"/>
        <v>36.0006019064</v>
      </c>
      <c r="BI48" s="94">
        <f t="shared" si="53"/>
        <v>12971.206346648934</v>
      </c>
      <c r="BJ48" s="95">
        <f t="shared" si="54"/>
        <v>410.69953030853344</v>
      </c>
      <c r="BK48" s="96">
        <f t="shared" si="55"/>
        <v>35.253935302133328</v>
      </c>
      <c r="BL48" s="87">
        <v>287.68</v>
      </c>
      <c r="BM48" s="88"/>
      <c r="BN48" s="88"/>
      <c r="BO48" s="89"/>
      <c r="BP48" s="62">
        <f t="shared" si="33"/>
        <v>13035.994346648935</v>
      </c>
      <c r="BQ48" s="63">
        <f t="shared" si="16"/>
        <v>380.50953030853344</v>
      </c>
      <c r="BR48" s="64">
        <f t="shared" si="34"/>
        <v>35.903935302133327</v>
      </c>
      <c r="BS48" s="62">
        <f t="shared" si="17"/>
        <v>13397.011141946803</v>
      </c>
      <c r="BT48" s="62">
        <f t="shared" si="17"/>
        <v>369.04827492560008</v>
      </c>
      <c r="BU48" s="100">
        <f t="shared" si="17"/>
        <v>36.0006019064</v>
      </c>
      <c r="BV48" s="62">
        <f t="shared" si="35"/>
        <v>352.46800000000002</v>
      </c>
      <c r="BW48" s="63">
        <f t="shared" si="35"/>
        <v>-30.19</v>
      </c>
      <c r="BX48" s="64">
        <f t="shared" si="35"/>
        <v>0.65</v>
      </c>
      <c r="BY48" s="87">
        <v>0</v>
      </c>
      <c r="BZ48" s="88">
        <v>0</v>
      </c>
      <c r="CA48" s="89">
        <v>0</v>
      </c>
      <c r="CB48" s="101">
        <f t="shared" si="62"/>
        <v>-45.54983788261913</v>
      </c>
      <c r="CC48" s="101">
        <f t="shared" si="62"/>
        <v>-1.2547641347470402</v>
      </c>
      <c r="CD48" s="102">
        <f t="shared" si="62"/>
        <v>-0.12240204648175999</v>
      </c>
      <c r="CE48" s="62">
        <f t="shared" si="36"/>
        <v>13703.929304064184</v>
      </c>
      <c r="CF48" s="63">
        <f t="shared" si="20"/>
        <v>337.60351079085302</v>
      </c>
      <c r="CG48" s="64">
        <f t="shared" si="20"/>
        <v>36.528199859918239</v>
      </c>
      <c r="CH48" s="94">
        <f t="shared" si="56"/>
        <v>13080.237650015486</v>
      </c>
      <c r="CI48" s="95">
        <f t="shared" si="57"/>
        <v>386.64882658868441</v>
      </c>
      <c r="CJ48" s="96">
        <f t="shared" si="58"/>
        <v>35.70528994290607</v>
      </c>
      <c r="CK48" s="87">
        <v>287.68</v>
      </c>
      <c r="CL48" s="88"/>
      <c r="CM48" s="88"/>
      <c r="CN48" s="89"/>
      <c r="CO48" s="62">
        <f t="shared" si="37"/>
        <v>13145.025650015486</v>
      </c>
      <c r="CP48" s="63">
        <f t="shared" si="24"/>
        <v>356.45882658868442</v>
      </c>
      <c r="CQ48" s="64">
        <f t="shared" si="38"/>
        <v>36.355289942906069</v>
      </c>
    </row>
    <row r="49" spans="1:95" ht="14.5" x14ac:dyDescent="0.35">
      <c r="A49" s="61" t="s">
        <v>414</v>
      </c>
      <c r="B49" s="87">
        <v>29578.89</v>
      </c>
      <c r="C49" s="88">
        <v>73.45</v>
      </c>
      <c r="D49" s="89">
        <v>0</v>
      </c>
      <c r="E49" s="87">
        <v>29578.890019999995</v>
      </c>
      <c r="F49" s="88">
        <v>73.45</v>
      </c>
      <c r="G49" s="89">
        <v>0</v>
      </c>
      <c r="H49" s="87">
        <v>122.23</v>
      </c>
      <c r="I49" s="88">
        <v>-3.01</v>
      </c>
      <c r="J49" s="89">
        <v>0</v>
      </c>
      <c r="K49" s="87">
        <v>0</v>
      </c>
      <c r="L49" s="88">
        <v>0</v>
      </c>
      <c r="M49" s="89">
        <v>0</v>
      </c>
      <c r="N49" s="87">
        <v>0</v>
      </c>
      <c r="O49" s="88">
        <v>0</v>
      </c>
      <c r="P49" s="89">
        <v>0</v>
      </c>
      <c r="Q49" s="62">
        <f t="shared" si="25"/>
        <v>29701.120019999995</v>
      </c>
      <c r="R49" s="63">
        <f t="shared" si="0"/>
        <v>70.44</v>
      </c>
      <c r="S49" s="64">
        <f t="shared" si="0"/>
        <v>0</v>
      </c>
      <c r="T49" s="62">
        <f t="shared" si="26"/>
        <v>29701.120019999995</v>
      </c>
      <c r="U49" s="63">
        <f t="shared" si="1"/>
        <v>70.44</v>
      </c>
      <c r="V49" s="64">
        <f t="shared" si="1"/>
        <v>0</v>
      </c>
      <c r="W49" s="62">
        <f t="shared" si="27"/>
        <v>122.23</v>
      </c>
      <c r="X49" s="63">
        <f t="shared" si="2"/>
        <v>-3.01</v>
      </c>
      <c r="Y49" s="64">
        <f t="shared" si="2"/>
        <v>0</v>
      </c>
      <c r="Z49" s="103">
        <v>0</v>
      </c>
      <c r="AA49" s="103">
        <v>0</v>
      </c>
      <c r="AB49" s="103">
        <v>0</v>
      </c>
      <c r="AC49" s="92">
        <v>0</v>
      </c>
      <c r="AD49" s="92">
        <v>0</v>
      </c>
      <c r="AE49" s="92">
        <v>0</v>
      </c>
      <c r="AF49" s="62">
        <f t="shared" si="28"/>
        <v>29823.350019999994</v>
      </c>
      <c r="AG49" s="63">
        <f t="shared" si="3"/>
        <v>67.429999999999993</v>
      </c>
      <c r="AH49" s="64">
        <f t="shared" si="3"/>
        <v>0</v>
      </c>
      <c r="AI49" s="94">
        <f t="shared" si="29"/>
        <v>29660.376679999998</v>
      </c>
      <c r="AJ49" s="95">
        <f t="shared" si="4"/>
        <v>71.443333333333328</v>
      </c>
      <c r="AK49" s="96">
        <f t="shared" si="4"/>
        <v>0</v>
      </c>
      <c r="AL49" s="97">
        <v>712.52</v>
      </c>
      <c r="AM49" s="98"/>
      <c r="AN49" s="98"/>
      <c r="AO49" s="99"/>
      <c r="AP49" s="62">
        <f t="shared" si="30"/>
        <v>29070.086679999997</v>
      </c>
      <c r="AQ49" s="63">
        <f t="shared" si="30"/>
        <v>68.433333333333323</v>
      </c>
      <c r="AR49" s="63">
        <f t="shared" si="31"/>
        <v>0</v>
      </c>
      <c r="AS49" s="64">
        <f t="shared" si="5"/>
        <v>0</v>
      </c>
      <c r="AT49" s="62">
        <f t="shared" si="47"/>
        <v>29823.350019999994</v>
      </c>
      <c r="AU49" s="62">
        <f t="shared" si="48"/>
        <v>67.429999999999993</v>
      </c>
      <c r="AV49" s="100">
        <f t="shared" si="49"/>
        <v>0</v>
      </c>
      <c r="AW49" s="62">
        <f t="shared" si="50"/>
        <v>122.23</v>
      </c>
      <c r="AX49" s="63">
        <f t="shared" si="51"/>
        <v>-3.01</v>
      </c>
      <c r="AY49" s="64">
        <f t="shared" si="52"/>
        <v>0</v>
      </c>
      <c r="AZ49" s="62">
        <f t="shared" si="63"/>
        <v>0</v>
      </c>
      <c r="BA49" s="63">
        <f t="shared" si="63"/>
        <v>0</v>
      </c>
      <c r="BB49" s="64">
        <f t="shared" si="63"/>
        <v>0</v>
      </c>
      <c r="BC49" s="87">
        <v>0</v>
      </c>
      <c r="BD49" s="88">
        <v>0</v>
      </c>
      <c r="BE49" s="89">
        <v>0</v>
      </c>
      <c r="BF49" s="62">
        <f t="shared" si="32"/>
        <v>29945.580019999994</v>
      </c>
      <c r="BG49" s="63">
        <f t="shared" si="12"/>
        <v>64.419999999999987</v>
      </c>
      <c r="BH49" s="64">
        <f t="shared" si="12"/>
        <v>0</v>
      </c>
      <c r="BI49" s="94">
        <f t="shared" si="53"/>
        <v>29782.606686666662</v>
      </c>
      <c r="BJ49" s="95">
        <f t="shared" si="54"/>
        <v>68.433333333333323</v>
      </c>
      <c r="BK49" s="96">
        <f t="shared" si="55"/>
        <v>0</v>
      </c>
      <c r="BL49" s="87">
        <v>712.52</v>
      </c>
      <c r="BM49" s="88"/>
      <c r="BN49" s="88"/>
      <c r="BO49" s="89"/>
      <c r="BP49" s="62">
        <f t="shared" si="33"/>
        <v>29192.316686666662</v>
      </c>
      <c r="BQ49" s="63">
        <f t="shared" si="16"/>
        <v>65.423333333333318</v>
      </c>
      <c r="BR49" s="64">
        <f t="shared" si="34"/>
        <v>0</v>
      </c>
      <c r="BS49" s="62">
        <f t="shared" si="17"/>
        <v>29945.580019999994</v>
      </c>
      <c r="BT49" s="62">
        <f t="shared" si="17"/>
        <v>64.419999999999987</v>
      </c>
      <c r="BU49" s="100">
        <f t="shared" si="17"/>
        <v>0</v>
      </c>
      <c r="BV49" s="62">
        <f t="shared" si="35"/>
        <v>122.23</v>
      </c>
      <c r="BW49" s="63">
        <f t="shared" si="35"/>
        <v>-3.01</v>
      </c>
      <c r="BX49" s="64">
        <f t="shared" si="35"/>
        <v>0</v>
      </c>
      <c r="BY49" s="62">
        <f t="shared" si="35"/>
        <v>0</v>
      </c>
      <c r="BZ49" s="62">
        <f t="shared" si="19"/>
        <v>0</v>
      </c>
      <c r="CA49" s="100">
        <f t="shared" si="19"/>
        <v>0</v>
      </c>
      <c r="CB49" s="62">
        <f>+BC49</f>
        <v>0</v>
      </c>
      <c r="CC49" s="62">
        <f>+BD49</f>
        <v>0</v>
      </c>
      <c r="CD49" s="100">
        <f>+BE49</f>
        <v>0</v>
      </c>
      <c r="CE49" s="62">
        <f t="shared" si="36"/>
        <v>30067.810019999994</v>
      </c>
      <c r="CF49" s="63">
        <f t="shared" si="20"/>
        <v>61.409999999999989</v>
      </c>
      <c r="CG49" s="64">
        <f t="shared" si="20"/>
        <v>0</v>
      </c>
      <c r="CH49" s="94">
        <f t="shared" si="56"/>
        <v>29877.674462222221</v>
      </c>
      <c r="CI49" s="95">
        <f t="shared" si="57"/>
        <v>66.092222222222219</v>
      </c>
      <c r="CJ49" s="96">
        <f t="shared" si="58"/>
        <v>0</v>
      </c>
      <c r="CK49" s="87">
        <v>712.52</v>
      </c>
      <c r="CL49" s="88"/>
      <c r="CM49" s="88"/>
      <c r="CN49" s="89"/>
      <c r="CO49" s="62">
        <f t="shared" si="37"/>
        <v>29287.38446222222</v>
      </c>
      <c r="CP49" s="63">
        <f t="shared" si="24"/>
        <v>63.082222222222221</v>
      </c>
      <c r="CQ49" s="64">
        <f t="shared" si="38"/>
        <v>0</v>
      </c>
    </row>
    <row r="50" spans="1:95" ht="14.5" x14ac:dyDescent="0.35">
      <c r="A50" s="61" t="s">
        <v>415</v>
      </c>
      <c r="B50" s="87">
        <v>14114.1</v>
      </c>
      <c r="C50" s="88">
        <v>139.13</v>
      </c>
      <c r="D50" s="89">
        <v>0</v>
      </c>
      <c r="E50" s="87">
        <v>14114.1</v>
      </c>
      <c r="F50" s="88">
        <v>139.13</v>
      </c>
      <c r="G50" s="89">
        <v>0</v>
      </c>
      <c r="H50" s="87">
        <v>0</v>
      </c>
      <c r="I50" s="88">
        <v>0</v>
      </c>
      <c r="J50" s="89">
        <v>0</v>
      </c>
      <c r="K50" s="87">
        <v>910.34</v>
      </c>
      <c r="L50" s="88">
        <v>83.95</v>
      </c>
      <c r="M50" s="89">
        <v>0</v>
      </c>
      <c r="N50" s="87">
        <v>0</v>
      </c>
      <c r="O50" s="88">
        <v>0</v>
      </c>
      <c r="P50" s="89">
        <v>0</v>
      </c>
      <c r="Q50" s="62">
        <f t="shared" si="25"/>
        <v>15024.44</v>
      </c>
      <c r="R50" s="63">
        <f t="shared" si="0"/>
        <v>223.07999999999998</v>
      </c>
      <c r="S50" s="64">
        <f t="shared" si="0"/>
        <v>0</v>
      </c>
      <c r="T50" s="62">
        <f t="shared" si="26"/>
        <v>15024.44</v>
      </c>
      <c r="U50" s="63">
        <f t="shared" si="1"/>
        <v>223.07999999999998</v>
      </c>
      <c r="V50" s="64">
        <f t="shared" si="1"/>
        <v>0</v>
      </c>
      <c r="W50" s="62">
        <f t="shared" si="27"/>
        <v>0</v>
      </c>
      <c r="X50" s="63">
        <f t="shared" si="2"/>
        <v>0</v>
      </c>
      <c r="Y50" s="64">
        <f t="shared" si="2"/>
        <v>0</v>
      </c>
      <c r="Z50" s="103">
        <v>0</v>
      </c>
      <c r="AA50" s="103">
        <v>0</v>
      </c>
      <c r="AB50" s="103">
        <v>0</v>
      </c>
      <c r="AC50" s="108">
        <v>-51.083095999999998</v>
      </c>
      <c r="AD50" s="108">
        <v>-0.75847200000000004</v>
      </c>
      <c r="AE50" s="108">
        <v>0</v>
      </c>
      <c r="AF50" s="62">
        <f t="shared" si="28"/>
        <v>14973.356904</v>
      </c>
      <c r="AG50" s="63">
        <f t="shared" si="3"/>
        <v>222.32152799999997</v>
      </c>
      <c r="AH50" s="64">
        <f t="shared" si="3"/>
        <v>0</v>
      </c>
      <c r="AI50" s="94">
        <f t="shared" si="29"/>
        <v>14703.965634666667</v>
      </c>
      <c r="AJ50" s="95">
        <f t="shared" si="4"/>
        <v>194.84384266666666</v>
      </c>
      <c r="AK50" s="96">
        <f t="shared" si="4"/>
        <v>0</v>
      </c>
      <c r="AL50" s="97">
        <v>117.7</v>
      </c>
      <c r="AM50" s="98"/>
      <c r="AN50" s="98"/>
      <c r="AO50" s="99"/>
      <c r="AP50" s="62">
        <f t="shared" si="30"/>
        <v>14586.265634666666</v>
      </c>
      <c r="AQ50" s="63">
        <f t="shared" si="30"/>
        <v>194.84384266666666</v>
      </c>
      <c r="AR50" s="63">
        <f t="shared" si="31"/>
        <v>0</v>
      </c>
      <c r="AS50" s="64">
        <f t="shared" si="5"/>
        <v>0</v>
      </c>
      <c r="AT50" s="62">
        <f t="shared" si="47"/>
        <v>14973.356904</v>
      </c>
      <c r="AU50" s="62">
        <f t="shared" si="48"/>
        <v>222.32152799999997</v>
      </c>
      <c r="AV50" s="100">
        <f t="shared" si="49"/>
        <v>0</v>
      </c>
      <c r="AW50" s="62">
        <f t="shared" si="50"/>
        <v>0</v>
      </c>
      <c r="AX50" s="63">
        <f t="shared" si="51"/>
        <v>0</v>
      </c>
      <c r="AY50" s="64">
        <f t="shared" si="52"/>
        <v>0</v>
      </c>
      <c r="AZ50" s="110">
        <v>0.17368252640000037</v>
      </c>
      <c r="BA50" s="111">
        <v>2.5788048000000563E-3</v>
      </c>
      <c r="BB50" s="112">
        <v>0</v>
      </c>
      <c r="BC50" s="87">
        <v>-50.909413473599997</v>
      </c>
      <c r="BD50" s="88">
        <v>-0.75589319519999998</v>
      </c>
      <c r="BE50" s="89">
        <v>0</v>
      </c>
      <c r="BF50" s="62">
        <f t="shared" si="32"/>
        <v>14922.621173052799</v>
      </c>
      <c r="BG50" s="63">
        <f t="shared" si="12"/>
        <v>221.56821360959998</v>
      </c>
      <c r="BH50" s="64">
        <f t="shared" si="12"/>
        <v>0</v>
      </c>
      <c r="BI50" s="94">
        <f t="shared" si="53"/>
        <v>14973.414798175467</v>
      </c>
      <c r="BJ50" s="95">
        <f t="shared" si="54"/>
        <v>222.32238760159998</v>
      </c>
      <c r="BK50" s="96">
        <f t="shared" si="55"/>
        <v>0</v>
      </c>
      <c r="BL50" s="87">
        <v>117.7</v>
      </c>
      <c r="BM50" s="88"/>
      <c r="BN50" s="88"/>
      <c r="BO50" s="89"/>
      <c r="BP50" s="62">
        <f t="shared" si="33"/>
        <v>14855.888480701866</v>
      </c>
      <c r="BQ50" s="63">
        <f t="shared" si="16"/>
        <v>222.32496640639999</v>
      </c>
      <c r="BR50" s="64">
        <f t="shared" si="34"/>
        <v>0</v>
      </c>
      <c r="BS50" s="62">
        <f t="shared" si="17"/>
        <v>14922.621173052799</v>
      </c>
      <c r="BT50" s="62">
        <f t="shared" si="17"/>
        <v>221.56821360959998</v>
      </c>
      <c r="BU50" s="100">
        <f t="shared" si="17"/>
        <v>0</v>
      </c>
      <c r="BV50" s="62">
        <f t="shared" si="35"/>
        <v>0</v>
      </c>
      <c r="BW50" s="63">
        <f t="shared" si="35"/>
        <v>0</v>
      </c>
      <c r="BX50" s="64">
        <f t="shared" si="35"/>
        <v>0</v>
      </c>
      <c r="BY50" s="87">
        <v>0</v>
      </c>
      <c r="BZ50" s="88">
        <v>0</v>
      </c>
      <c r="CA50" s="89">
        <v>0</v>
      </c>
      <c r="CB50" s="101">
        <f>-(BS50*0.0034)</f>
        <v>-50.736911988379518</v>
      </c>
      <c r="CC50" s="101">
        <f>-(BT50*0.0034)</f>
        <v>-0.7533319262726399</v>
      </c>
      <c r="CD50" s="102">
        <f>-(BU50*0.0034)</f>
        <v>0</v>
      </c>
      <c r="CE50" s="62">
        <f t="shared" si="36"/>
        <v>14871.884261064421</v>
      </c>
      <c r="CF50" s="63">
        <f t="shared" si="20"/>
        <v>220.81488168332734</v>
      </c>
      <c r="CG50" s="64">
        <f t="shared" si="20"/>
        <v>0</v>
      </c>
      <c r="CH50" s="94">
        <f t="shared" si="56"/>
        <v>14849.812792144317</v>
      </c>
      <c r="CI50" s="95">
        <f t="shared" si="57"/>
        <v>212.66123025213133</v>
      </c>
      <c r="CJ50" s="96">
        <f t="shared" si="58"/>
        <v>0</v>
      </c>
      <c r="CK50" s="87">
        <v>117.7</v>
      </c>
      <c r="CL50" s="88"/>
      <c r="CM50" s="88"/>
      <c r="CN50" s="89"/>
      <c r="CO50" s="62">
        <f t="shared" si="37"/>
        <v>14732.112792144317</v>
      </c>
      <c r="CP50" s="63">
        <f t="shared" si="24"/>
        <v>212.66123025213133</v>
      </c>
      <c r="CQ50" s="64">
        <f t="shared" si="38"/>
        <v>0</v>
      </c>
    </row>
    <row r="51" spans="1:95" ht="14.5" x14ac:dyDescent="0.35">
      <c r="A51" s="61" t="s">
        <v>416</v>
      </c>
      <c r="B51" s="87">
        <v>34927.69</v>
      </c>
      <c r="C51" s="88">
        <v>2061.91</v>
      </c>
      <c r="D51" s="89">
        <v>6532.08</v>
      </c>
      <c r="E51" s="87">
        <v>34927.689990999999</v>
      </c>
      <c r="F51" s="88">
        <v>2061.91</v>
      </c>
      <c r="G51" s="89">
        <v>6532.08</v>
      </c>
      <c r="H51" s="87">
        <v>629.38</v>
      </c>
      <c r="I51" s="88">
        <v>-25.02</v>
      </c>
      <c r="J51" s="89">
        <v>-197.05</v>
      </c>
      <c r="K51" s="87">
        <v>0</v>
      </c>
      <c r="L51" s="88">
        <v>0</v>
      </c>
      <c r="M51" s="89">
        <v>0</v>
      </c>
      <c r="N51" s="87">
        <v>0</v>
      </c>
      <c r="O51" s="88">
        <v>0</v>
      </c>
      <c r="P51" s="89">
        <v>0</v>
      </c>
      <c r="Q51" s="62">
        <f t="shared" si="25"/>
        <v>35557.069990999997</v>
      </c>
      <c r="R51" s="63">
        <f t="shared" si="0"/>
        <v>2036.8899999999999</v>
      </c>
      <c r="S51" s="64">
        <f t="shared" si="0"/>
        <v>6335.03</v>
      </c>
      <c r="T51" s="62">
        <f t="shared" si="26"/>
        <v>35557.069990999997</v>
      </c>
      <c r="U51" s="63">
        <f t="shared" si="1"/>
        <v>2036.8899999999999</v>
      </c>
      <c r="V51" s="64">
        <f t="shared" si="1"/>
        <v>6335.03</v>
      </c>
      <c r="W51" s="62">
        <f t="shared" si="27"/>
        <v>629.38</v>
      </c>
      <c r="X51" s="63">
        <f t="shared" si="2"/>
        <v>-25.02</v>
      </c>
      <c r="Y51" s="64">
        <f t="shared" si="2"/>
        <v>-197.05</v>
      </c>
      <c r="Z51" s="103">
        <v>0</v>
      </c>
      <c r="AA51" s="103">
        <v>0</v>
      </c>
      <c r="AB51" s="103">
        <v>0</v>
      </c>
      <c r="AC51" s="92">
        <v>0</v>
      </c>
      <c r="AD51" s="92">
        <v>0</v>
      </c>
      <c r="AE51" s="92">
        <v>0</v>
      </c>
      <c r="AF51" s="62">
        <f t="shared" si="28"/>
        <v>36186.449990999994</v>
      </c>
      <c r="AG51" s="63">
        <f t="shared" si="3"/>
        <v>2011.87</v>
      </c>
      <c r="AH51" s="64">
        <f t="shared" si="3"/>
        <v>6137.98</v>
      </c>
      <c r="AI51" s="94">
        <f t="shared" si="29"/>
        <v>35347.276660666663</v>
      </c>
      <c r="AJ51" s="95">
        <f t="shared" si="4"/>
        <v>2045.2299999999998</v>
      </c>
      <c r="AK51" s="96">
        <f t="shared" si="4"/>
        <v>6400.7133333333331</v>
      </c>
      <c r="AL51" s="97">
        <v>630.17999999999995</v>
      </c>
      <c r="AM51" s="98"/>
      <c r="AN51" s="98"/>
      <c r="AO51" s="99"/>
      <c r="AP51" s="62">
        <f t="shared" si="30"/>
        <v>35346.47666066666</v>
      </c>
      <c r="AQ51" s="63">
        <f t="shared" si="30"/>
        <v>2020.2099999999998</v>
      </c>
      <c r="AR51" s="63">
        <f t="shared" si="31"/>
        <v>6203.663333333333</v>
      </c>
      <c r="AS51" s="64">
        <f t="shared" si="5"/>
        <v>6137.98</v>
      </c>
      <c r="AT51" s="62">
        <f t="shared" si="47"/>
        <v>36186.449990999994</v>
      </c>
      <c r="AU51" s="62">
        <f t="shared" si="48"/>
        <v>2011.87</v>
      </c>
      <c r="AV51" s="100">
        <f t="shared" si="49"/>
        <v>6137.98</v>
      </c>
      <c r="AW51" s="62">
        <f t="shared" si="50"/>
        <v>629.38</v>
      </c>
      <c r="AX51" s="63">
        <f t="shared" si="51"/>
        <v>-25.02</v>
      </c>
      <c r="AY51" s="64">
        <f t="shared" si="52"/>
        <v>-197.05</v>
      </c>
      <c r="AZ51" s="62">
        <f t="shared" ref="AZ51:BB55" si="64">+Z51</f>
        <v>0</v>
      </c>
      <c r="BA51" s="63">
        <f t="shared" si="64"/>
        <v>0</v>
      </c>
      <c r="BB51" s="64">
        <f t="shared" si="64"/>
        <v>0</v>
      </c>
      <c r="BC51" s="87">
        <v>0</v>
      </c>
      <c r="BD51" s="88">
        <v>0</v>
      </c>
      <c r="BE51" s="89">
        <v>0</v>
      </c>
      <c r="BF51" s="62">
        <f t="shared" si="32"/>
        <v>36815.829990999991</v>
      </c>
      <c r="BG51" s="63">
        <f t="shared" si="12"/>
        <v>1986.85</v>
      </c>
      <c r="BH51" s="64">
        <f t="shared" si="12"/>
        <v>5940.9299999999994</v>
      </c>
      <c r="BI51" s="94">
        <f t="shared" si="53"/>
        <v>35976.656657666659</v>
      </c>
      <c r="BJ51" s="95">
        <f t="shared" si="54"/>
        <v>2020.21</v>
      </c>
      <c r="BK51" s="96">
        <f t="shared" si="55"/>
        <v>6203.663333333333</v>
      </c>
      <c r="BL51" s="87">
        <v>630.17999999999995</v>
      </c>
      <c r="BM51" s="88"/>
      <c r="BN51" s="88"/>
      <c r="BO51" s="89"/>
      <c r="BP51" s="62">
        <f t="shared" si="33"/>
        <v>35975.856657666656</v>
      </c>
      <c r="BQ51" s="63">
        <f t="shared" si="16"/>
        <v>1995.19</v>
      </c>
      <c r="BR51" s="64">
        <f t="shared" si="34"/>
        <v>6006.6133333333328</v>
      </c>
      <c r="BS51" s="62">
        <f t="shared" si="17"/>
        <v>36815.829990999991</v>
      </c>
      <c r="BT51" s="62">
        <f t="shared" si="17"/>
        <v>1986.85</v>
      </c>
      <c r="BU51" s="100">
        <f t="shared" si="17"/>
        <v>5940.9299999999994</v>
      </c>
      <c r="BV51" s="62">
        <f t="shared" si="35"/>
        <v>629.38</v>
      </c>
      <c r="BW51" s="63">
        <f t="shared" si="35"/>
        <v>-25.02</v>
      </c>
      <c r="BX51" s="64">
        <f t="shared" si="35"/>
        <v>-197.05</v>
      </c>
      <c r="BY51" s="62">
        <f t="shared" si="35"/>
        <v>0</v>
      </c>
      <c r="BZ51" s="62">
        <f t="shared" si="19"/>
        <v>0</v>
      </c>
      <c r="CA51" s="100">
        <f t="shared" si="19"/>
        <v>0</v>
      </c>
      <c r="CB51" s="62">
        <f t="shared" si="19"/>
        <v>0</v>
      </c>
      <c r="CC51" s="62">
        <f t="shared" si="19"/>
        <v>0</v>
      </c>
      <c r="CD51" s="100">
        <f t="shared" si="19"/>
        <v>0</v>
      </c>
      <c r="CE51" s="62">
        <f t="shared" si="36"/>
        <v>37445.209990999989</v>
      </c>
      <c r="CF51" s="63">
        <f t="shared" si="20"/>
        <v>1961.83</v>
      </c>
      <c r="CG51" s="64">
        <f t="shared" si="20"/>
        <v>5743.8799999999992</v>
      </c>
      <c r="CH51" s="94">
        <f t="shared" si="56"/>
        <v>36466.174436444438</v>
      </c>
      <c r="CI51" s="95">
        <f t="shared" si="57"/>
        <v>2000.75</v>
      </c>
      <c r="CJ51" s="96">
        <f t="shared" si="58"/>
        <v>6050.402222222222</v>
      </c>
      <c r="CK51" s="87">
        <v>630.17999999999995</v>
      </c>
      <c r="CL51" s="88"/>
      <c r="CM51" s="88"/>
      <c r="CN51" s="89"/>
      <c r="CO51" s="62">
        <f t="shared" si="37"/>
        <v>36465.374436444436</v>
      </c>
      <c r="CP51" s="63">
        <f t="shared" si="24"/>
        <v>1975.73</v>
      </c>
      <c r="CQ51" s="64">
        <f t="shared" si="38"/>
        <v>5853.3522222222218</v>
      </c>
    </row>
    <row r="52" spans="1:95" ht="14.5" x14ac:dyDescent="0.35">
      <c r="A52" s="61" t="s">
        <v>417</v>
      </c>
      <c r="B52" s="87">
        <v>14108.98</v>
      </c>
      <c r="C52" s="88">
        <v>1699.39</v>
      </c>
      <c r="D52" s="89">
        <v>4713.1499999999996</v>
      </c>
      <c r="E52" s="87">
        <v>14108.980000199999</v>
      </c>
      <c r="F52" s="88">
        <v>1699.39</v>
      </c>
      <c r="G52" s="89">
        <v>4713.1500000000005</v>
      </c>
      <c r="H52" s="87">
        <v>353.86399999999998</v>
      </c>
      <c r="I52" s="88">
        <v>369.21</v>
      </c>
      <c r="J52" s="89">
        <v>-575.88</v>
      </c>
      <c r="K52" s="87">
        <v>1429.806</v>
      </c>
      <c r="L52" s="88">
        <v>0</v>
      </c>
      <c r="M52" s="89">
        <v>0</v>
      </c>
      <c r="N52" s="87">
        <v>0</v>
      </c>
      <c r="O52" s="88">
        <v>0</v>
      </c>
      <c r="P52" s="89">
        <v>0</v>
      </c>
      <c r="Q52" s="62">
        <f t="shared" si="25"/>
        <v>15892.650000199999</v>
      </c>
      <c r="R52" s="63">
        <f t="shared" si="0"/>
        <v>2068.6</v>
      </c>
      <c r="S52" s="64">
        <f t="shared" si="0"/>
        <v>4137.2700000000004</v>
      </c>
      <c r="T52" s="62">
        <f t="shared" si="26"/>
        <v>15892.650000199999</v>
      </c>
      <c r="U52" s="63">
        <f t="shared" si="1"/>
        <v>2068.6</v>
      </c>
      <c r="V52" s="64">
        <f t="shared" si="1"/>
        <v>4137.2700000000004</v>
      </c>
      <c r="W52" s="62">
        <f t="shared" si="27"/>
        <v>353.86399999999998</v>
      </c>
      <c r="X52" s="63">
        <f t="shared" si="2"/>
        <v>369.21</v>
      </c>
      <c r="Y52" s="64">
        <f t="shared" si="2"/>
        <v>-575.88</v>
      </c>
      <c r="Z52" s="105">
        <v>1429.806</v>
      </c>
      <c r="AA52" s="105">
        <v>0</v>
      </c>
      <c r="AB52" s="105">
        <v>0</v>
      </c>
      <c r="AC52" s="92">
        <v>0</v>
      </c>
      <c r="AD52" s="92">
        <v>0</v>
      </c>
      <c r="AE52" s="92">
        <v>0</v>
      </c>
      <c r="AF52" s="62">
        <f t="shared" si="28"/>
        <v>17676.320000199998</v>
      </c>
      <c r="AG52" s="63">
        <f t="shared" si="3"/>
        <v>2437.81</v>
      </c>
      <c r="AH52" s="64">
        <f t="shared" si="3"/>
        <v>3561.3900000000003</v>
      </c>
      <c r="AI52" s="94">
        <f t="shared" si="29"/>
        <v>15774.695333466667</v>
      </c>
      <c r="AJ52" s="95">
        <f t="shared" si="4"/>
        <v>1945.5299999999997</v>
      </c>
      <c r="AK52" s="96">
        <f t="shared" si="4"/>
        <v>4329.2300000000005</v>
      </c>
      <c r="AL52" s="97">
        <v>200.11</v>
      </c>
      <c r="AM52" s="98"/>
      <c r="AN52" s="98">
        <v>3.5900000000000003</v>
      </c>
      <c r="AO52" s="99">
        <v>0</v>
      </c>
      <c r="AP52" s="62">
        <f t="shared" si="30"/>
        <v>15924.859333466666</v>
      </c>
      <c r="AQ52" s="63">
        <f t="shared" si="30"/>
        <v>2314.7399999999998</v>
      </c>
      <c r="AR52" s="63">
        <f t="shared" si="31"/>
        <v>3753.3500000000004</v>
      </c>
      <c r="AS52" s="64">
        <f t="shared" si="5"/>
        <v>3561.3900000000003</v>
      </c>
      <c r="AT52" s="62">
        <f t="shared" si="47"/>
        <v>17676.320000199998</v>
      </c>
      <c r="AU52" s="62">
        <f t="shared" si="48"/>
        <v>2437.81</v>
      </c>
      <c r="AV52" s="100">
        <f t="shared" si="49"/>
        <v>3561.3900000000003</v>
      </c>
      <c r="AW52" s="62">
        <f t="shared" si="50"/>
        <v>353.86399999999998</v>
      </c>
      <c r="AX52" s="63">
        <f t="shared" si="51"/>
        <v>369.21</v>
      </c>
      <c r="AY52" s="64">
        <f t="shared" si="52"/>
        <v>-575.88</v>
      </c>
      <c r="AZ52" s="62">
        <f t="shared" si="64"/>
        <v>1429.806</v>
      </c>
      <c r="BA52" s="63">
        <f t="shared" si="64"/>
        <v>0</v>
      </c>
      <c r="BB52" s="64">
        <f t="shared" si="64"/>
        <v>0</v>
      </c>
      <c r="BC52" s="87">
        <v>0</v>
      </c>
      <c r="BD52" s="88">
        <v>0</v>
      </c>
      <c r="BE52" s="89">
        <v>0</v>
      </c>
      <c r="BF52" s="62">
        <f t="shared" si="32"/>
        <v>19459.990000199999</v>
      </c>
      <c r="BG52" s="63">
        <f t="shared" si="12"/>
        <v>2807.02</v>
      </c>
      <c r="BH52" s="64">
        <f t="shared" si="12"/>
        <v>2985.51</v>
      </c>
      <c r="BI52" s="94">
        <f t="shared" si="53"/>
        <v>17081.763333533334</v>
      </c>
      <c r="BJ52" s="95">
        <f t="shared" si="54"/>
        <v>2314.7400000000002</v>
      </c>
      <c r="BK52" s="96">
        <f t="shared" si="55"/>
        <v>3753.3500000000004</v>
      </c>
      <c r="BL52" s="87">
        <v>200.11</v>
      </c>
      <c r="BM52" s="88"/>
      <c r="BN52" s="88">
        <v>3.5900000000000003</v>
      </c>
      <c r="BO52" s="89">
        <v>0</v>
      </c>
      <c r="BP52" s="62">
        <f t="shared" si="33"/>
        <v>18661.733333533335</v>
      </c>
      <c r="BQ52" s="63">
        <f t="shared" si="16"/>
        <v>2683.9500000000003</v>
      </c>
      <c r="BR52" s="64">
        <f t="shared" si="34"/>
        <v>3177.4700000000003</v>
      </c>
      <c r="BS52" s="62">
        <f t="shared" si="17"/>
        <v>19459.990000199999</v>
      </c>
      <c r="BT52" s="62">
        <f t="shared" si="17"/>
        <v>2807.02</v>
      </c>
      <c r="BU52" s="100">
        <f t="shared" si="17"/>
        <v>2985.51</v>
      </c>
      <c r="BV52" s="62">
        <f t="shared" si="35"/>
        <v>353.86399999999998</v>
      </c>
      <c r="BW52" s="63">
        <f t="shared" si="35"/>
        <v>369.21</v>
      </c>
      <c r="BX52" s="64">
        <f t="shared" si="35"/>
        <v>-575.88</v>
      </c>
      <c r="BY52" s="62">
        <f t="shared" si="35"/>
        <v>1429.806</v>
      </c>
      <c r="BZ52" s="62">
        <f t="shared" si="19"/>
        <v>0</v>
      </c>
      <c r="CA52" s="100">
        <f t="shared" si="19"/>
        <v>0</v>
      </c>
      <c r="CB52" s="62">
        <f t="shared" si="19"/>
        <v>0</v>
      </c>
      <c r="CC52" s="62">
        <f t="shared" si="19"/>
        <v>0</v>
      </c>
      <c r="CD52" s="100">
        <f t="shared" si="19"/>
        <v>0</v>
      </c>
      <c r="CE52" s="62">
        <f t="shared" si="36"/>
        <v>21243.660000200001</v>
      </c>
      <c r="CF52" s="63">
        <f t="shared" si="20"/>
        <v>3176.23</v>
      </c>
      <c r="CG52" s="64">
        <f t="shared" si="20"/>
        <v>2409.63</v>
      </c>
      <c r="CH52" s="94">
        <f t="shared" si="56"/>
        <v>18151.327555733336</v>
      </c>
      <c r="CI52" s="95">
        <f t="shared" si="57"/>
        <v>2601.9033333333332</v>
      </c>
      <c r="CJ52" s="96">
        <f t="shared" si="58"/>
        <v>3305.4433333333332</v>
      </c>
      <c r="CK52" s="87">
        <v>200.11</v>
      </c>
      <c r="CL52" s="88"/>
      <c r="CM52" s="88">
        <v>3.5900000000000003</v>
      </c>
      <c r="CN52" s="89">
        <v>0</v>
      </c>
      <c r="CO52" s="62">
        <f t="shared" si="37"/>
        <v>19731.297555733338</v>
      </c>
      <c r="CP52" s="63">
        <f t="shared" si="24"/>
        <v>2971.1133333333332</v>
      </c>
      <c r="CQ52" s="64">
        <f t="shared" si="38"/>
        <v>2729.563333333333</v>
      </c>
    </row>
    <row r="53" spans="1:95" ht="14.5" x14ac:dyDescent="0.35">
      <c r="A53" s="61" t="s">
        <v>418</v>
      </c>
      <c r="B53" s="87">
        <v>13337.72</v>
      </c>
      <c r="C53" s="88">
        <v>175.49</v>
      </c>
      <c r="D53" s="89">
        <v>0</v>
      </c>
      <c r="E53" s="87">
        <v>13337.72</v>
      </c>
      <c r="F53" s="88">
        <v>175.48999999999998</v>
      </c>
      <c r="G53" s="89">
        <v>0</v>
      </c>
      <c r="H53" s="87">
        <v>9.1280000000000001</v>
      </c>
      <c r="I53" s="88">
        <v>-15.18</v>
      </c>
      <c r="J53" s="89">
        <v>0</v>
      </c>
      <c r="K53" s="87">
        <v>2393.442</v>
      </c>
      <c r="L53" s="88">
        <v>0</v>
      </c>
      <c r="M53" s="89">
        <v>0</v>
      </c>
      <c r="N53" s="87">
        <v>0</v>
      </c>
      <c r="O53" s="88">
        <v>0</v>
      </c>
      <c r="P53" s="89">
        <v>0</v>
      </c>
      <c r="Q53" s="62">
        <f t="shared" si="25"/>
        <v>15740.29</v>
      </c>
      <c r="R53" s="63">
        <f t="shared" si="0"/>
        <v>160.30999999999997</v>
      </c>
      <c r="S53" s="64">
        <f t="shared" si="0"/>
        <v>0</v>
      </c>
      <c r="T53" s="62">
        <f t="shared" si="26"/>
        <v>15740.29</v>
      </c>
      <c r="U53" s="63">
        <f t="shared" si="1"/>
        <v>160.30999999999997</v>
      </c>
      <c r="V53" s="64">
        <f t="shared" si="1"/>
        <v>0</v>
      </c>
      <c r="W53" s="62">
        <f t="shared" si="27"/>
        <v>9.1280000000000001</v>
      </c>
      <c r="X53" s="63">
        <f t="shared" si="2"/>
        <v>-15.18</v>
      </c>
      <c r="Y53" s="64">
        <f t="shared" si="2"/>
        <v>0</v>
      </c>
      <c r="Z53" s="113">
        <v>0</v>
      </c>
      <c r="AA53" s="113">
        <v>0</v>
      </c>
      <c r="AB53" s="113">
        <v>0</v>
      </c>
      <c r="AC53" s="108">
        <v>-53.516986000000003</v>
      </c>
      <c r="AD53" s="108">
        <v>-0.54505399999999993</v>
      </c>
      <c r="AE53" s="108">
        <v>0</v>
      </c>
      <c r="AF53" s="62">
        <f t="shared" si="28"/>
        <v>15695.901014000001</v>
      </c>
      <c r="AG53" s="63">
        <f t="shared" si="3"/>
        <v>144.58494599999997</v>
      </c>
      <c r="AH53" s="64">
        <f t="shared" si="3"/>
        <v>0</v>
      </c>
      <c r="AI53" s="94">
        <f t="shared" si="29"/>
        <v>14921.594338000003</v>
      </c>
      <c r="AJ53" s="95">
        <f t="shared" si="4"/>
        <v>165.18831533333329</v>
      </c>
      <c r="AK53" s="96">
        <f t="shared" si="4"/>
        <v>0</v>
      </c>
      <c r="AL53" s="97">
        <v>425</v>
      </c>
      <c r="AM53" s="98"/>
      <c r="AN53" s="98"/>
      <c r="AO53" s="99"/>
      <c r="AP53" s="62">
        <f t="shared" si="30"/>
        <v>14505.722338000003</v>
      </c>
      <c r="AQ53" s="63">
        <f t="shared" si="30"/>
        <v>150.00831533333329</v>
      </c>
      <c r="AR53" s="63">
        <f t="shared" si="31"/>
        <v>0</v>
      </c>
      <c r="AS53" s="64">
        <f t="shared" si="5"/>
        <v>0</v>
      </c>
      <c r="AT53" s="62">
        <f t="shared" si="47"/>
        <v>15695.901014000001</v>
      </c>
      <c r="AU53" s="62">
        <f t="shared" si="48"/>
        <v>144.58494599999997</v>
      </c>
      <c r="AV53" s="100">
        <f t="shared" si="49"/>
        <v>0</v>
      </c>
      <c r="AW53" s="62">
        <f t="shared" si="50"/>
        <v>9.1280000000000001</v>
      </c>
      <c r="AX53" s="63">
        <f t="shared" si="51"/>
        <v>-15.18</v>
      </c>
      <c r="AY53" s="64">
        <f t="shared" si="52"/>
        <v>0</v>
      </c>
      <c r="AZ53" s="62">
        <f t="shared" si="64"/>
        <v>0</v>
      </c>
      <c r="BA53" s="63">
        <f t="shared" si="64"/>
        <v>0</v>
      </c>
      <c r="BB53" s="64">
        <f t="shared" si="64"/>
        <v>0</v>
      </c>
      <c r="BC53" s="87">
        <v>-53.366063447599998</v>
      </c>
      <c r="BD53" s="88">
        <v>-0.49158881639999996</v>
      </c>
      <c r="BE53" s="89">
        <v>0</v>
      </c>
      <c r="BF53" s="62">
        <f t="shared" si="32"/>
        <v>15651.662950552402</v>
      </c>
      <c r="BG53" s="63">
        <f t="shared" si="12"/>
        <v>128.91335718359997</v>
      </c>
      <c r="BH53" s="64">
        <f t="shared" si="12"/>
        <v>0</v>
      </c>
      <c r="BI53" s="94">
        <f t="shared" si="53"/>
        <v>15692.908654850804</v>
      </c>
      <c r="BJ53" s="95">
        <f t="shared" si="54"/>
        <v>149.66276772786665</v>
      </c>
      <c r="BK53" s="96">
        <f t="shared" si="55"/>
        <v>0</v>
      </c>
      <c r="BL53" s="87">
        <v>425</v>
      </c>
      <c r="BM53" s="88"/>
      <c r="BN53" s="88"/>
      <c r="BO53" s="89"/>
      <c r="BP53" s="62">
        <f t="shared" si="33"/>
        <v>15277.036654850805</v>
      </c>
      <c r="BQ53" s="63">
        <f t="shared" si="16"/>
        <v>134.48276772786664</v>
      </c>
      <c r="BR53" s="64">
        <f t="shared" si="34"/>
        <v>0</v>
      </c>
      <c r="BS53" s="62">
        <f t="shared" si="17"/>
        <v>15651.662950552402</v>
      </c>
      <c r="BT53" s="62">
        <f t="shared" si="17"/>
        <v>128.91335718359997</v>
      </c>
      <c r="BU53" s="100">
        <f t="shared" si="17"/>
        <v>0</v>
      </c>
      <c r="BV53" s="62">
        <f t="shared" si="35"/>
        <v>9.1280000000000001</v>
      </c>
      <c r="BW53" s="63">
        <f t="shared" si="35"/>
        <v>-15.18</v>
      </c>
      <c r="BX53" s="64">
        <f t="shared" si="35"/>
        <v>0</v>
      </c>
      <c r="BY53" s="87">
        <v>0</v>
      </c>
      <c r="BZ53" s="88">
        <v>0</v>
      </c>
      <c r="CA53" s="89">
        <v>0</v>
      </c>
      <c r="CB53" s="101">
        <f>-(BS53*0.0034)</f>
        <v>-53.215654031878159</v>
      </c>
      <c r="CC53" s="101">
        <f>-(BT53*0.0034)</f>
        <v>-0.43830541442423987</v>
      </c>
      <c r="CD53" s="102">
        <f>-(BU53*0.0034)</f>
        <v>0</v>
      </c>
      <c r="CE53" s="62">
        <f t="shared" si="36"/>
        <v>15607.575296520525</v>
      </c>
      <c r="CF53" s="63">
        <f t="shared" si="20"/>
        <v>113.29505176917573</v>
      </c>
      <c r="CG53" s="64">
        <f t="shared" si="20"/>
        <v>0</v>
      </c>
      <c r="CH53" s="94">
        <f t="shared" si="56"/>
        <v>15410.40209645711</v>
      </c>
      <c r="CI53" s="95">
        <f t="shared" si="57"/>
        <v>137.65537827679188</v>
      </c>
      <c r="CJ53" s="96">
        <f t="shared" si="58"/>
        <v>0</v>
      </c>
      <c r="CK53" s="87">
        <v>425</v>
      </c>
      <c r="CL53" s="88"/>
      <c r="CM53" s="88"/>
      <c r="CN53" s="89"/>
      <c r="CO53" s="62">
        <f t="shared" si="37"/>
        <v>14994.530096457111</v>
      </c>
      <c r="CP53" s="63">
        <f t="shared" si="24"/>
        <v>122.47537827679187</v>
      </c>
      <c r="CQ53" s="64">
        <f t="shared" si="38"/>
        <v>0</v>
      </c>
    </row>
    <row r="54" spans="1:95" ht="14.5" x14ac:dyDescent="0.35">
      <c r="A54" s="61" t="s">
        <v>419</v>
      </c>
      <c r="B54" s="87">
        <v>11234.88</v>
      </c>
      <c r="C54" s="88">
        <v>116.72</v>
      </c>
      <c r="D54" s="89">
        <v>0</v>
      </c>
      <c r="E54" s="87">
        <v>11234.879999999997</v>
      </c>
      <c r="F54" s="88">
        <v>116.72</v>
      </c>
      <c r="G54" s="89">
        <v>0</v>
      </c>
      <c r="H54" s="87">
        <v>0</v>
      </c>
      <c r="I54" s="88">
        <v>0</v>
      </c>
      <c r="J54" s="89">
        <v>0</v>
      </c>
      <c r="K54" s="87">
        <v>597.25</v>
      </c>
      <c r="L54" s="88">
        <v>17.82</v>
      </c>
      <c r="M54" s="89">
        <v>0</v>
      </c>
      <c r="N54" s="87">
        <v>0</v>
      </c>
      <c r="O54" s="88">
        <v>0</v>
      </c>
      <c r="P54" s="89">
        <v>0</v>
      </c>
      <c r="Q54" s="62">
        <f t="shared" si="25"/>
        <v>11832.129999999997</v>
      </c>
      <c r="R54" s="63">
        <f t="shared" si="0"/>
        <v>134.54</v>
      </c>
      <c r="S54" s="64">
        <f t="shared" si="0"/>
        <v>0</v>
      </c>
      <c r="T54" s="62">
        <f t="shared" si="26"/>
        <v>11832.129999999997</v>
      </c>
      <c r="U54" s="63">
        <f t="shared" si="1"/>
        <v>134.54</v>
      </c>
      <c r="V54" s="64">
        <f t="shared" si="1"/>
        <v>0</v>
      </c>
      <c r="W54" s="62">
        <f t="shared" si="27"/>
        <v>0</v>
      </c>
      <c r="X54" s="63">
        <f t="shared" si="2"/>
        <v>0</v>
      </c>
      <c r="Y54" s="64">
        <f t="shared" si="2"/>
        <v>0</v>
      </c>
      <c r="Z54" s="114">
        <v>119.45</v>
      </c>
      <c r="AA54" s="114">
        <v>3.5640000000000001</v>
      </c>
      <c r="AB54" s="114">
        <v>0</v>
      </c>
      <c r="AC54" s="115">
        <v>0</v>
      </c>
      <c r="AD54" s="115">
        <v>0</v>
      </c>
      <c r="AE54" s="115">
        <v>0</v>
      </c>
      <c r="AF54" s="62">
        <f t="shared" si="28"/>
        <v>11951.579999999998</v>
      </c>
      <c r="AG54" s="63">
        <f t="shared" si="3"/>
        <v>138.10399999999998</v>
      </c>
      <c r="AH54" s="64">
        <f t="shared" si="3"/>
        <v>0</v>
      </c>
      <c r="AI54" s="94">
        <f t="shared" si="29"/>
        <v>11672.863333333333</v>
      </c>
      <c r="AJ54" s="95">
        <f t="shared" si="4"/>
        <v>129.78799999999998</v>
      </c>
      <c r="AK54" s="96">
        <f t="shared" si="4"/>
        <v>0</v>
      </c>
      <c r="AL54" s="97">
        <v>193.38</v>
      </c>
      <c r="AM54" s="98"/>
      <c r="AN54" s="98"/>
      <c r="AO54" s="99"/>
      <c r="AP54" s="62">
        <f t="shared" si="30"/>
        <v>11479.483333333334</v>
      </c>
      <c r="AQ54" s="63">
        <f t="shared" si="30"/>
        <v>129.78799999999998</v>
      </c>
      <c r="AR54" s="63">
        <f t="shared" si="31"/>
        <v>0</v>
      </c>
      <c r="AS54" s="64">
        <f t="shared" si="5"/>
        <v>0</v>
      </c>
      <c r="AT54" s="62">
        <f t="shared" si="47"/>
        <v>11951.579999999998</v>
      </c>
      <c r="AU54" s="62">
        <f t="shared" si="48"/>
        <v>138.10399999999998</v>
      </c>
      <c r="AV54" s="100">
        <f t="shared" si="49"/>
        <v>0</v>
      </c>
      <c r="AW54" s="62">
        <f t="shared" si="50"/>
        <v>0</v>
      </c>
      <c r="AX54" s="63">
        <f t="shared" si="51"/>
        <v>0</v>
      </c>
      <c r="AY54" s="64">
        <f t="shared" si="52"/>
        <v>0</v>
      </c>
      <c r="AZ54" s="62">
        <f t="shared" si="64"/>
        <v>119.45</v>
      </c>
      <c r="BA54" s="63">
        <f t="shared" si="64"/>
        <v>3.5640000000000001</v>
      </c>
      <c r="BB54" s="64">
        <f t="shared" si="64"/>
        <v>0</v>
      </c>
      <c r="BC54" s="87">
        <v>0</v>
      </c>
      <c r="BD54" s="88">
        <v>0</v>
      </c>
      <c r="BE54" s="89">
        <v>0</v>
      </c>
      <c r="BF54" s="62">
        <f t="shared" si="32"/>
        <v>12071.029999999999</v>
      </c>
      <c r="BG54" s="63">
        <f t="shared" si="12"/>
        <v>141.66799999999998</v>
      </c>
      <c r="BH54" s="64">
        <f t="shared" si="12"/>
        <v>0</v>
      </c>
      <c r="BI54" s="94">
        <f t="shared" si="53"/>
        <v>11911.763333333331</v>
      </c>
      <c r="BJ54" s="95">
        <f t="shared" si="54"/>
        <v>136.916</v>
      </c>
      <c r="BK54" s="96">
        <f t="shared" si="55"/>
        <v>0</v>
      </c>
      <c r="BL54" s="87">
        <v>193.38</v>
      </c>
      <c r="BM54" s="88"/>
      <c r="BN54" s="88"/>
      <c r="BO54" s="89"/>
      <c r="BP54" s="62">
        <f t="shared" si="33"/>
        <v>11837.833333333332</v>
      </c>
      <c r="BQ54" s="63">
        <f t="shared" si="16"/>
        <v>140.47999999999999</v>
      </c>
      <c r="BR54" s="64">
        <f t="shared" si="34"/>
        <v>0</v>
      </c>
      <c r="BS54" s="62">
        <f t="shared" si="17"/>
        <v>12071.029999999999</v>
      </c>
      <c r="BT54" s="62">
        <f t="shared" si="17"/>
        <v>141.66799999999998</v>
      </c>
      <c r="BU54" s="100">
        <f t="shared" si="17"/>
        <v>0</v>
      </c>
      <c r="BV54" s="62">
        <f t="shared" si="35"/>
        <v>0</v>
      </c>
      <c r="BW54" s="63">
        <f t="shared" si="35"/>
        <v>0</v>
      </c>
      <c r="BX54" s="64">
        <f t="shared" si="35"/>
        <v>0</v>
      </c>
      <c r="BY54" s="62">
        <f t="shared" si="35"/>
        <v>119.45</v>
      </c>
      <c r="BZ54" s="62">
        <f t="shared" si="19"/>
        <v>3.5640000000000001</v>
      </c>
      <c r="CA54" s="100">
        <f t="shared" si="19"/>
        <v>0</v>
      </c>
      <c r="CB54" s="62">
        <f>+BC54</f>
        <v>0</v>
      </c>
      <c r="CC54" s="62">
        <f>+BD54</f>
        <v>0</v>
      </c>
      <c r="CD54" s="100">
        <f>+BE54</f>
        <v>0</v>
      </c>
      <c r="CE54" s="62">
        <f t="shared" si="36"/>
        <v>12190.48</v>
      </c>
      <c r="CF54" s="63">
        <f t="shared" si="20"/>
        <v>145.23199999999997</v>
      </c>
      <c r="CG54" s="64">
        <f t="shared" si="20"/>
        <v>0</v>
      </c>
      <c r="CH54" s="94">
        <f t="shared" si="56"/>
        <v>11925.035555555556</v>
      </c>
      <c r="CI54" s="95">
        <f t="shared" si="57"/>
        <v>137.31199999999998</v>
      </c>
      <c r="CJ54" s="96">
        <f t="shared" si="58"/>
        <v>0</v>
      </c>
      <c r="CK54" s="87">
        <v>193.38</v>
      </c>
      <c r="CL54" s="88"/>
      <c r="CM54" s="88"/>
      <c r="CN54" s="89"/>
      <c r="CO54" s="62">
        <f t="shared" si="37"/>
        <v>11851.105555555558</v>
      </c>
      <c r="CP54" s="63">
        <f t="shared" si="24"/>
        <v>140.87599999999998</v>
      </c>
      <c r="CQ54" s="64">
        <f t="shared" si="38"/>
        <v>0</v>
      </c>
    </row>
    <row r="55" spans="1:95" ht="14.5" x14ac:dyDescent="0.35">
      <c r="A55" s="61" t="s">
        <v>420</v>
      </c>
      <c r="B55" s="87">
        <v>6739.42</v>
      </c>
      <c r="C55" s="88">
        <v>149.56</v>
      </c>
      <c r="D55" s="89">
        <v>239.43</v>
      </c>
      <c r="E55" s="87">
        <v>6739.4199999999983</v>
      </c>
      <c r="F55" s="88">
        <v>149.56</v>
      </c>
      <c r="G55" s="89">
        <v>239.43</v>
      </c>
      <c r="H55" s="87">
        <v>53.744</v>
      </c>
      <c r="I55" s="88">
        <v>60.26</v>
      </c>
      <c r="J55" s="89">
        <v>-89.98</v>
      </c>
      <c r="K55" s="87">
        <v>1156.566</v>
      </c>
      <c r="L55" s="88">
        <v>0</v>
      </c>
      <c r="M55" s="89">
        <v>0</v>
      </c>
      <c r="N55" s="87">
        <v>0</v>
      </c>
      <c r="O55" s="88">
        <v>0</v>
      </c>
      <c r="P55" s="89">
        <v>0</v>
      </c>
      <c r="Q55" s="62">
        <f t="shared" si="25"/>
        <v>7949.7299999999977</v>
      </c>
      <c r="R55" s="63">
        <f t="shared" si="0"/>
        <v>209.82</v>
      </c>
      <c r="S55" s="64">
        <f t="shared" si="0"/>
        <v>149.44999999999999</v>
      </c>
      <c r="T55" s="62">
        <f t="shared" si="26"/>
        <v>7949.7299999999977</v>
      </c>
      <c r="U55" s="63">
        <f t="shared" si="1"/>
        <v>209.82</v>
      </c>
      <c r="V55" s="64">
        <f t="shared" si="1"/>
        <v>149.44999999999999</v>
      </c>
      <c r="W55" s="62">
        <f t="shared" si="27"/>
        <v>53.744</v>
      </c>
      <c r="X55" s="63">
        <f t="shared" si="2"/>
        <v>60.26</v>
      </c>
      <c r="Y55" s="64">
        <f t="shared" si="2"/>
        <v>-89.98</v>
      </c>
      <c r="Z55" s="113">
        <v>0</v>
      </c>
      <c r="AA55" s="113">
        <v>0</v>
      </c>
      <c r="AB55" s="113">
        <v>0</v>
      </c>
      <c r="AC55" s="108">
        <v>-27.029081999999995</v>
      </c>
      <c r="AD55" s="108">
        <v>-0.71338799999999991</v>
      </c>
      <c r="AE55" s="108">
        <v>-0.50812999999999997</v>
      </c>
      <c r="AF55" s="62">
        <f t="shared" si="28"/>
        <v>7976.4449179999974</v>
      </c>
      <c r="AG55" s="63">
        <f t="shared" si="3"/>
        <v>269.36661199999998</v>
      </c>
      <c r="AH55" s="64">
        <f t="shared" si="3"/>
        <v>58.961869999999983</v>
      </c>
      <c r="AI55" s="94">
        <f t="shared" si="29"/>
        <v>7537.2836393333318</v>
      </c>
      <c r="AJ55" s="95">
        <f t="shared" si="4"/>
        <v>189.49553733333332</v>
      </c>
      <c r="AK55" s="96">
        <f t="shared" si="4"/>
        <v>179.27395666666666</v>
      </c>
      <c r="AL55" s="97">
        <v>562.09</v>
      </c>
      <c r="AM55" s="98"/>
      <c r="AN55" s="98">
        <v>20.799999999999997</v>
      </c>
      <c r="AO55" s="99">
        <v>1</v>
      </c>
      <c r="AP55" s="62">
        <f t="shared" si="30"/>
        <v>7008.1376393333312</v>
      </c>
      <c r="AQ55" s="63">
        <f t="shared" si="30"/>
        <v>248.75553733333331</v>
      </c>
      <c r="AR55" s="63">
        <f t="shared" si="31"/>
        <v>89.293956666666659</v>
      </c>
      <c r="AS55" s="64">
        <f t="shared" si="5"/>
        <v>58.961869999999983</v>
      </c>
      <c r="AT55" s="62">
        <f t="shared" si="47"/>
        <v>7976.4449179999974</v>
      </c>
      <c r="AU55" s="62">
        <f t="shared" si="48"/>
        <v>269.36661199999998</v>
      </c>
      <c r="AV55" s="100">
        <f t="shared" si="49"/>
        <v>58.961869999999983</v>
      </c>
      <c r="AW55" s="62">
        <f t="shared" si="50"/>
        <v>53.744</v>
      </c>
      <c r="AX55" s="63">
        <f t="shared" si="51"/>
        <v>60.26</v>
      </c>
      <c r="AY55" s="64">
        <f t="shared" si="52"/>
        <v>-89.98</v>
      </c>
      <c r="AZ55" s="62">
        <f t="shared" si="64"/>
        <v>0</v>
      </c>
      <c r="BA55" s="63">
        <f t="shared" si="64"/>
        <v>0</v>
      </c>
      <c r="BB55" s="64">
        <f t="shared" si="64"/>
        <v>0</v>
      </c>
      <c r="BC55" s="87">
        <v>-27.119912721199995</v>
      </c>
      <c r="BD55" s="88">
        <v>-0.91584648079999986</v>
      </c>
      <c r="BE55" s="89">
        <v>-0.20047035799999996</v>
      </c>
      <c r="BF55" s="62">
        <f t="shared" si="32"/>
        <v>8003.0690052787968</v>
      </c>
      <c r="BG55" s="63">
        <f t="shared" si="12"/>
        <v>328.71076551919998</v>
      </c>
      <c r="BH55" s="64">
        <f t="shared" si="12"/>
        <v>-31.218600358000021</v>
      </c>
      <c r="BI55" s="94">
        <f t="shared" si="53"/>
        <v>7958.4999744262641</v>
      </c>
      <c r="BJ55" s="95">
        <f t="shared" si="54"/>
        <v>249.21245917306666</v>
      </c>
      <c r="BK55" s="96">
        <f t="shared" si="55"/>
        <v>89.057756547333312</v>
      </c>
      <c r="BL55" s="87">
        <v>562.09</v>
      </c>
      <c r="BM55" s="88"/>
      <c r="BN55" s="88">
        <v>20.799999999999997</v>
      </c>
      <c r="BO55" s="89">
        <v>1</v>
      </c>
      <c r="BP55" s="62">
        <f t="shared" si="33"/>
        <v>7429.3539744262634</v>
      </c>
      <c r="BQ55" s="63">
        <f t="shared" si="16"/>
        <v>308.47245917306668</v>
      </c>
      <c r="BR55" s="64">
        <f t="shared" si="34"/>
        <v>-0.92224345266669161</v>
      </c>
      <c r="BS55" s="62">
        <f t="shared" si="17"/>
        <v>8003.0690052787968</v>
      </c>
      <c r="BT55" s="62">
        <f t="shared" si="17"/>
        <v>328.71076551919998</v>
      </c>
      <c r="BU55" s="100">
        <f t="shared" si="17"/>
        <v>-31.218600358000021</v>
      </c>
      <c r="BV55" s="62">
        <f t="shared" si="35"/>
        <v>53.744</v>
      </c>
      <c r="BW55" s="63">
        <f t="shared" si="35"/>
        <v>60.26</v>
      </c>
      <c r="BX55" s="64">
        <f t="shared" si="35"/>
        <v>-89.98</v>
      </c>
      <c r="BY55" s="87">
        <v>0</v>
      </c>
      <c r="BZ55" s="88">
        <v>0</v>
      </c>
      <c r="CA55" s="89">
        <v>0</v>
      </c>
      <c r="CB55" s="101">
        <f>-(BS55*0.0034)</f>
        <v>-27.210434617947907</v>
      </c>
      <c r="CC55" s="101">
        <f>-(BT55*0.0034)</f>
        <v>-1.1176166027652799</v>
      </c>
      <c r="CD55" s="102">
        <f>-(BU55*0.0034)</f>
        <v>0.10614324121720006</v>
      </c>
      <c r="CE55" s="62">
        <f t="shared" si="36"/>
        <v>8029.6025706608489</v>
      </c>
      <c r="CF55" s="63">
        <f t="shared" si="20"/>
        <v>387.85314891643469</v>
      </c>
      <c r="CG55" s="64">
        <f t="shared" si="20"/>
        <v>-121.09245711678282</v>
      </c>
      <c r="CH55" s="94">
        <f t="shared" si="56"/>
        <v>7859.7100614734818</v>
      </c>
      <c r="CI55" s="95">
        <f t="shared" si="57"/>
        <v>295.6070484742782</v>
      </c>
      <c r="CJ55" s="96">
        <f t="shared" si="58"/>
        <v>19.086418699072382</v>
      </c>
      <c r="CK55" s="87">
        <v>562.09</v>
      </c>
      <c r="CL55" s="88"/>
      <c r="CM55" s="88">
        <v>20.799999999999997</v>
      </c>
      <c r="CN55" s="89">
        <v>1</v>
      </c>
      <c r="CO55" s="62">
        <f t="shared" si="37"/>
        <v>7330.5640614734812</v>
      </c>
      <c r="CP55" s="63">
        <f t="shared" si="24"/>
        <v>354.86704847427819</v>
      </c>
      <c r="CQ55" s="64">
        <f t="shared" si="38"/>
        <v>-70.893581300927622</v>
      </c>
    </row>
    <row r="56" spans="1:95" ht="14.5" x14ac:dyDescent="0.35">
      <c r="A56" s="61" t="s">
        <v>421</v>
      </c>
      <c r="B56" s="87">
        <v>16348.83</v>
      </c>
      <c r="C56" s="88">
        <v>57.88</v>
      </c>
      <c r="D56" s="89">
        <v>0</v>
      </c>
      <c r="E56" s="87">
        <v>16348.829999999998</v>
      </c>
      <c r="F56" s="88">
        <v>57.88000000000001</v>
      </c>
      <c r="G56" s="89">
        <v>0</v>
      </c>
      <c r="H56" s="87">
        <v>0</v>
      </c>
      <c r="I56" s="88">
        <v>0</v>
      </c>
      <c r="J56" s="89">
        <v>0</v>
      </c>
      <c r="K56" s="87">
        <v>0</v>
      </c>
      <c r="L56" s="88">
        <v>0</v>
      </c>
      <c r="M56" s="89">
        <v>0</v>
      </c>
      <c r="N56" s="87">
        <v>-802.05</v>
      </c>
      <c r="O56" s="88">
        <v>-18.23</v>
      </c>
      <c r="P56" s="89">
        <v>0</v>
      </c>
      <c r="Q56" s="62">
        <f t="shared" si="25"/>
        <v>15546.779999999999</v>
      </c>
      <c r="R56" s="63">
        <f t="shared" si="0"/>
        <v>39.650000000000006</v>
      </c>
      <c r="S56" s="64">
        <f t="shared" si="0"/>
        <v>0</v>
      </c>
      <c r="T56" s="62">
        <f t="shared" si="26"/>
        <v>15546.779999999999</v>
      </c>
      <c r="U56" s="63">
        <f t="shared" si="1"/>
        <v>39.650000000000006</v>
      </c>
      <c r="V56" s="64">
        <f t="shared" si="1"/>
        <v>0</v>
      </c>
      <c r="W56" s="62">
        <f t="shared" si="27"/>
        <v>0</v>
      </c>
      <c r="X56" s="63">
        <f t="shared" si="2"/>
        <v>0</v>
      </c>
      <c r="Y56" s="64">
        <f t="shared" si="2"/>
        <v>0</v>
      </c>
      <c r="Z56" s="113">
        <v>0</v>
      </c>
      <c r="AA56" s="113">
        <v>0</v>
      </c>
      <c r="AB56" s="113">
        <v>0</v>
      </c>
      <c r="AC56" s="116">
        <v>-401.02499999999998</v>
      </c>
      <c r="AD56" s="116">
        <v>-9.1150000000000002</v>
      </c>
      <c r="AE56" s="116">
        <v>0</v>
      </c>
      <c r="AF56" s="62">
        <f t="shared" si="28"/>
        <v>15145.754999999999</v>
      </c>
      <c r="AG56" s="63">
        <f t="shared" si="3"/>
        <v>30.535000000000004</v>
      </c>
      <c r="AH56" s="64">
        <f t="shared" si="3"/>
        <v>0</v>
      </c>
      <c r="AI56" s="94">
        <f t="shared" si="29"/>
        <v>15680.455</v>
      </c>
      <c r="AJ56" s="95">
        <f t="shared" si="4"/>
        <v>42.688333333333333</v>
      </c>
      <c r="AK56" s="96">
        <f t="shared" si="4"/>
        <v>0</v>
      </c>
      <c r="AL56" s="97">
        <v>0</v>
      </c>
      <c r="AM56" s="98"/>
      <c r="AN56" s="98">
        <v>4.5999999999999996</v>
      </c>
      <c r="AO56" s="99">
        <v>0</v>
      </c>
      <c r="AP56" s="62">
        <f t="shared" si="30"/>
        <v>15675.855</v>
      </c>
      <c r="AQ56" s="63">
        <f t="shared" si="30"/>
        <v>42.688333333333333</v>
      </c>
      <c r="AR56" s="63">
        <f t="shared" si="31"/>
        <v>0</v>
      </c>
      <c r="AS56" s="64">
        <f t="shared" si="5"/>
        <v>0</v>
      </c>
      <c r="AT56" s="62">
        <f t="shared" si="47"/>
        <v>15145.754999999999</v>
      </c>
      <c r="AU56" s="62">
        <f t="shared" si="48"/>
        <v>30.535000000000004</v>
      </c>
      <c r="AV56" s="100">
        <f t="shared" si="49"/>
        <v>0</v>
      </c>
      <c r="AW56" s="62">
        <f t="shared" si="50"/>
        <v>0</v>
      </c>
      <c r="AX56" s="63">
        <f t="shared" si="51"/>
        <v>0</v>
      </c>
      <c r="AY56" s="64">
        <f t="shared" si="52"/>
        <v>0</v>
      </c>
      <c r="AZ56" s="87">
        <v>0</v>
      </c>
      <c r="BA56" s="88">
        <v>0</v>
      </c>
      <c r="BB56" s="89">
        <v>0</v>
      </c>
      <c r="BC56" s="87">
        <v>-401.02499999999998</v>
      </c>
      <c r="BD56" s="88">
        <v>-9.1150000000000002</v>
      </c>
      <c r="BE56" s="89">
        <v>0</v>
      </c>
      <c r="BF56" s="62">
        <f t="shared" si="32"/>
        <v>14744.73</v>
      </c>
      <c r="BG56" s="63">
        <f t="shared" si="12"/>
        <v>21.42</v>
      </c>
      <c r="BH56" s="64">
        <f t="shared" si="12"/>
        <v>0</v>
      </c>
      <c r="BI56" s="94">
        <f t="shared" si="53"/>
        <v>15145.754999999999</v>
      </c>
      <c r="BJ56" s="95">
        <f t="shared" si="54"/>
        <v>30.535</v>
      </c>
      <c r="BK56" s="96">
        <f t="shared" si="55"/>
        <v>0</v>
      </c>
      <c r="BL56" s="87">
        <v>0</v>
      </c>
      <c r="BM56" s="88"/>
      <c r="BN56" s="88">
        <v>4.5999999999999996</v>
      </c>
      <c r="BO56" s="89">
        <v>0</v>
      </c>
      <c r="BP56" s="62">
        <f t="shared" si="33"/>
        <v>15141.154999999999</v>
      </c>
      <c r="BQ56" s="63">
        <f t="shared" si="16"/>
        <v>30.535</v>
      </c>
      <c r="BR56" s="64">
        <f t="shared" si="34"/>
        <v>0</v>
      </c>
      <c r="BS56" s="62">
        <f t="shared" si="17"/>
        <v>14744.73</v>
      </c>
      <c r="BT56" s="62">
        <f t="shared" si="17"/>
        <v>21.42</v>
      </c>
      <c r="BU56" s="100">
        <f t="shared" si="17"/>
        <v>0</v>
      </c>
      <c r="BV56" s="62">
        <f t="shared" si="35"/>
        <v>0</v>
      </c>
      <c r="BW56" s="63">
        <f t="shared" si="35"/>
        <v>0</v>
      </c>
      <c r="BX56" s="64">
        <f t="shared" si="35"/>
        <v>0</v>
      </c>
      <c r="BY56" s="62">
        <f t="shared" si="35"/>
        <v>0</v>
      </c>
      <c r="BZ56" s="62">
        <f t="shared" si="19"/>
        <v>0</v>
      </c>
      <c r="CA56" s="100">
        <f t="shared" si="19"/>
        <v>0</v>
      </c>
      <c r="CB56" s="62">
        <f t="shared" si="19"/>
        <v>-401.02499999999998</v>
      </c>
      <c r="CC56" s="62">
        <f t="shared" si="19"/>
        <v>-9.1150000000000002</v>
      </c>
      <c r="CD56" s="100">
        <f t="shared" si="19"/>
        <v>0</v>
      </c>
      <c r="CE56" s="62">
        <f t="shared" si="36"/>
        <v>14343.705</v>
      </c>
      <c r="CF56" s="63">
        <f t="shared" si="20"/>
        <v>12.305000000000001</v>
      </c>
      <c r="CG56" s="64">
        <f t="shared" si="20"/>
        <v>0</v>
      </c>
      <c r="CH56" s="94">
        <f t="shared" si="56"/>
        <v>15056.638333333334</v>
      </c>
      <c r="CI56" s="95">
        <f t="shared" si="57"/>
        <v>28.509444444444444</v>
      </c>
      <c r="CJ56" s="96">
        <f t="shared" si="58"/>
        <v>0</v>
      </c>
      <c r="CK56" s="87">
        <v>0</v>
      </c>
      <c r="CL56" s="88"/>
      <c r="CM56" s="88">
        <v>4.5999999999999996</v>
      </c>
      <c r="CN56" s="89">
        <v>0</v>
      </c>
      <c r="CO56" s="62">
        <f t="shared" si="37"/>
        <v>15052.038333333334</v>
      </c>
      <c r="CP56" s="63">
        <f t="shared" si="24"/>
        <v>28.509444444444444</v>
      </c>
      <c r="CQ56" s="64">
        <f t="shared" si="38"/>
        <v>0</v>
      </c>
    </row>
    <row r="57" spans="1:95" ht="14.5" x14ac:dyDescent="0.35">
      <c r="A57" s="61" t="s">
        <v>422</v>
      </c>
      <c r="B57" s="87">
        <v>11805.67</v>
      </c>
      <c r="C57" s="88">
        <v>2.74</v>
      </c>
      <c r="D57" s="89">
        <v>571.46</v>
      </c>
      <c r="E57" s="87">
        <v>11805.670000000002</v>
      </c>
      <c r="F57" s="88">
        <v>2.7400000000000375</v>
      </c>
      <c r="G57" s="89">
        <v>571.46</v>
      </c>
      <c r="H57" s="87">
        <v>0</v>
      </c>
      <c r="I57" s="88">
        <v>0</v>
      </c>
      <c r="J57" s="89">
        <v>0</v>
      </c>
      <c r="K57" s="87">
        <v>0</v>
      </c>
      <c r="L57" s="88">
        <v>0</v>
      </c>
      <c r="M57" s="89">
        <v>0</v>
      </c>
      <c r="N57" s="87">
        <v>-590.49</v>
      </c>
      <c r="O57" s="88">
        <v>93.74</v>
      </c>
      <c r="P57" s="89">
        <v>6.17</v>
      </c>
      <c r="Q57" s="62">
        <f t="shared" si="25"/>
        <v>11215.180000000002</v>
      </c>
      <c r="R57" s="63">
        <f t="shared" si="0"/>
        <v>96.480000000000032</v>
      </c>
      <c r="S57" s="64">
        <f t="shared" si="0"/>
        <v>577.63</v>
      </c>
      <c r="T57" s="62">
        <f t="shared" si="26"/>
        <v>11215.180000000002</v>
      </c>
      <c r="U57" s="63">
        <f t="shared" si="1"/>
        <v>96.480000000000032</v>
      </c>
      <c r="V57" s="64">
        <f t="shared" si="1"/>
        <v>577.63</v>
      </c>
      <c r="W57" s="62">
        <f t="shared" si="27"/>
        <v>0</v>
      </c>
      <c r="X57" s="63">
        <f t="shared" si="2"/>
        <v>0</v>
      </c>
      <c r="Y57" s="64">
        <f t="shared" si="2"/>
        <v>0</v>
      </c>
      <c r="Z57" s="113">
        <v>0</v>
      </c>
      <c r="AA57" s="113">
        <v>0</v>
      </c>
      <c r="AB57" s="113">
        <v>0</v>
      </c>
      <c r="AC57" s="117">
        <v>-236.19600000000003</v>
      </c>
      <c r="AD57" s="117">
        <v>37.496000000000002</v>
      </c>
      <c r="AE57" s="117">
        <v>2.468</v>
      </c>
      <c r="AF57" s="62">
        <f t="shared" si="28"/>
        <v>10978.984000000002</v>
      </c>
      <c r="AG57" s="63">
        <f t="shared" si="3"/>
        <v>133.97600000000003</v>
      </c>
      <c r="AH57" s="64">
        <f t="shared" si="3"/>
        <v>580.09799999999996</v>
      </c>
      <c r="AI57" s="94">
        <f t="shared" si="29"/>
        <v>11333.278</v>
      </c>
      <c r="AJ57" s="95">
        <f t="shared" si="4"/>
        <v>77.732000000000014</v>
      </c>
      <c r="AK57" s="96">
        <f t="shared" si="4"/>
        <v>576.39600000000007</v>
      </c>
      <c r="AL57" s="97">
        <v>709.2</v>
      </c>
      <c r="AM57" s="98"/>
      <c r="AN57" s="98"/>
      <c r="AO57" s="99"/>
      <c r="AP57" s="62">
        <f t="shared" si="30"/>
        <v>10624.078</v>
      </c>
      <c r="AQ57" s="63">
        <f t="shared" si="30"/>
        <v>77.732000000000014</v>
      </c>
      <c r="AR57" s="63">
        <f t="shared" si="31"/>
        <v>576.39600000000007</v>
      </c>
      <c r="AS57" s="64">
        <f t="shared" si="5"/>
        <v>580.09799999999996</v>
      </c>
      <c r="AT57" s="62">
        <f t="shared" si="47"/>
        <v>10978.984000000002</v>
      </c>
      <c r="AU57" s="62">
        <f t="shared" si="48"/>
        <v>133.97600000000003</v>
      </c>
      <c r="AV57" s="100">
        <f t="shared" si="49"/>
        <v>580.09799999999996</v>
      </c>
      <c r="AW57" s="62">
        <f t="shared" si="50"/>
        <v>0</v>
      </c>
      <c r="AX57" s="63">
        <f t="shared" si="51"/>
        <v>0</v>
      </c>
      <c r="AY57" s="64">
        <f t="shared" si="52"/>
        <v>0</v>
      </c>
      <c r="AZ57" s="87">
        <v>0</v>
      </c>
      <c r="BA57" s="88">
        <v>0</v>
      </c>
      <c r="BB57" s="89">
        <v>0</v>
      </c>
      <c r="BC57" s="87">
        <v>-236.19600000000003</v>
      </c>
      <c r="BD57" s="88">
        <v>37.496000000000002</v>
      </c>
      <c r="BE57" s="89">
        <v>2.468</v>
      </c>
      <c r="BF57" s="62">
        <f t="shared" si="32"/>
        <v>10742.788000000002</v>
      </c>
      <c r="BG57" s="63">
        <f t="shared" si="12"/>
        <v>171.47200000000004</v>
      </c>
      <c r="BH57" s="64">
        <f t="shared" si="12"/>
        <v>582.56599999999992</v>
      </c>
      <c r="BI57" s="94">
        <f t="shared" si="53"/>
        <v>10978.984000000002</v>
      </c>
      <c r="BJ57" s="95">
        <f t="shared" si="54"/>
        <v>133.97600000000003</v>
      </c>
      <c r="BK57" s="96">
        <f t="shared" si="55"/>
        <v>580.09799999999996</v>
      </c>
      <c r="BL57" s="87">
        <v>709.2</v>
      </c>
      <c r="BM57" s="88"/>
      <c r="BN57" s="88"/>
      <c r="BO57" s="89"/>
      <c r="BP57" s="62">
        <f t="shared" si="33"/>
        <v>10269.784000000001</v>
      </c>
      <c r="BQ57" s="63">
        <f t="shared" si="16"/>
        <v>133.97600000000003</v>
      </c>
      <c r="BR57" s="64">
        <f t="shared" si="34"/>
        <v>580.09799999999996</v>
      </c>
      <c r="BS57" s="62">
        <f t="shared" si="17"/>
        <v>10742.788000000002</v>
      </c>
      <c r="BT57" s="62">
        <f t="shared" si="17"/>
        <v>171.47200000000004</v>
      </c>
      <c r="BU57" s="100">
        <f t="shared" si="17"/>
        <v>582.56599999999992</v>
      </c>
      <c r="BV57" s="62">
        <f t="shared" si="35"/>
        <v>0</v>
      </c>
      <c r="BW57" s="63">
        <f t="shared" si="35"/>
        <v>0</v>
      </c>
      <c r="BX57" s="64">
        <f t="shared" si="35"/>
        <v>0</v>
      </c>
      <c r="BY57" s="62">
        <f t="shared" si="35"/>
        <v>0</v>
      </c>
      <c r="BZ57" s="62">
        <f t="shared" si="19"/>
        <v>0</v>
      </c>
      <c r="CA57" s="100">
        <f t="shared" si="19"/>
        <v>0</v>
      </c>
      <c r="CB57" s="62">
        <f t="shared" si="19"/>
        <v>-236.19600000000003</v>
      </c>
      <c r="CC57" s="62">
        <f t="shared" si="19"/>
        <v>37.496000000000002</v>
      </c>
      <c r="CD57" s="100">
        <f t="shared" si="19"/>
        <v>2.468</v>
      </c>
      <c r="CE57" s="62">
        <f t="shared" si="36"/>
        <v>10506.592000000002</v>
      </c>
      <c r="CF57" s="63">
        <f t="shared" si="20"/>
        <v>208.96800000000005</v>
      </c>
      <c r="CG57" s="64">
        <f t="shared" si="20"/>
        <v>585.03399999999988</v>
      </c>
      <c r="CH57" s="94">
        <f t="shared" si="56"/>
        <v>10939.618000000002</v>
      </c>
      <c r="CI57" s="95">
        <f t="shared" si="57"/>
        <v>140.22533333333334</v>
      </c>
      <c r="CJ57" s="96">
        <f t="shared" si="58"/>
        <v>580.5093333333333</v>
      </c>
      <c r="CK57" s="87">
        <v>709.2</v>
      </c>
      <c r="CL57" s="88"/>
      <c r="CM57" s="88"/>
      <c r="CN57" s="89"/>
      <c r="CO57" s="62">
        <f t="shared" si="37"/>
        <v>10230.418000000001</v>
      </c>
      <c r="CP57" s="63">
        <f t="shared" si="24"/>
        <v>140.22533333333334</v>
      </c>
      <c r="CQ57" s="64">
        <f t="shared" si="38"/>
        <v>580.5093333333333</v>
      </c>
    </row>
    <row r="58" spans="1:95" ht="14.5" x14ac:dyDescent="0.35">
      <c r="A58" s="61" t="s">
        <v>423</v>
      </c>
      <c r="B58" s="87">
        <v>16098.7</v>
      </c>
      <c r="C58" s="88">
        <v>221.52</v>
      </c>
      <c r="D58" s="89">
        <v>123.86</v>
      </c>
      <c r="E58" s="87">
        <v>16098.699926000001</v>
      </c>
      <c r="F58" s="88">
        <v>221.51999999999998</v>
      </c>
      <c r="G58" s="89">
        <v>123.86</v>
      </c>
      <c r="H58" s="87">
        <v>192.38</v>
      </c>
      <c r="I58" s="88">
        <v>54.62</v>
      </c>
      <c r="J58" s="89">
        <v>0</v>
      </c>
      <c r="K58" s="87">
        <v>0</v>
      </c>
      <c r="L58" s="88">
        <v>0</v>
      </c>
      <c r="M58" s="89">
        <v>0</v>
      </c>
      <c r="N58" s="87">
        <v>0</v>
      </c>
      <c r="O58" s="88">
        <v>0</v>
      </c>
      <c r="P58" s="89">
        <v>0</v>
      </c>
      <c r="Q58" s="62">
        <f t="shared" si="25"/>
        <v>16291.079926</v>
      </c>
      <c r="R58" s="63">
        <f t="shared" si="0"/>
        <v>276.14</v>
      </c>
      <c r="S58" s="64">
        <f t="shared" si="0"/>
        <v>123.86</v>
      </c>
      <c r="T58" s="62">
        <f t="shared" si="26"/>
        <v>16291.079926</v>
      </c>
      <c r="U58" s="63">
        <f t="shared" si="1"/>
        <v>276.14</v>
      </c>
      <c r="V58" s="64">
        <f t="shared" si="1"/>
        <v>123.86</v>
      </c>
      <c r="W58" s="62">
        <f t="shared" si="27"/>
        <v>192.38</v>
      </c>
      <c r="X58" s="63">
        <f t="shared" si="2"/>
        <v>54.62</v>
      </c>
      <c r="Y58" s="64">
        <f t="shared" si="2"/>
        <v>0</v>
      </c>
      <c r="Z58" s="113">
        <v>0</v>
      </c>
      <c r="AA58" s="113">
        <v>0</v>
      </c>
      <c r="AB58" s="113">
        <v>0</v>
      </c>
      <c r="AC58" s="115">
        <v>0</v>
      </c>
      <c r="AD58" s="115">
        <v>0</v>
      </c>
      <c r="AE58" s="115">
        <v>0</v>
      </c>
      <c r="AF58" s="62">
        <f t="shared" si="28"/>
        <v>16483.459926</v>
      </c>
      <c r="AG58" s="63">
        <f t="shared" si="3"/>
        <v>330.76</v>
      </c>
      <c r="AH58" s="64">
        <f t="shared" si="3"/>
        <v>123.86</v>
      </c>
      <c r="AI58" s="94">
        <f t="shared" si="29"/>
        <v>16226.953284000001</v>
      </c>
      <c r="AJ58" s="95">
        <f t="shared" si="4"/>
        <v>257.93333333333334</v>
      </c>
      <c r="AK58" s="96">
        <f t="shared" si="4"/>
        <v>123.86</v>
      </c>
      <c r="AL58" s="97">
        <v>675.39</v>
      </c>
      <c r="AM58" s="98"/>
      <c r="AN58" s="98">
        <v>2.39</v>
      </c>
      <c r="AO58" s="99">
        <v>0</v>
      </c>
      <c r="AP58" s="62">
        <f t="shared" si="30"/>
        <v>15741.553284000001</v>
      </c>
      <c r="AQ58" s="63">
        <f t="shared" si="30"/>
        <v>312.55333333333334</v>
      </c>
      <c r="AR58" s="63">
        <f t="shared" si="31"/>
        <v>123.86</v>
      </c>
      <c r="AS58" s="64">
        <f t="shared" si="5"/>
        <v>123.86</v>
      </c>
      <c r="AT58" s="62">
        <f t="shared" si="47"/>
        <v>16483.459926</v>
      </c>
      <c r="AU58" s="62">
        <f t="shared" si="48"/>
        <v>330.76</v>
      </c>
      <c r="AV58" s="100">
        <f t="shared" si="49"/>
        <v>123.86</v>
      </c>
      <c r="AW58" s="62">
        <f t="shared" si="50"/>
        <v>192.38</v>
      </c>
      <c r="AX58" s="63">
        <f t="shared" si="51"/>
        <v>54.62</v>
      </c>
      <c r="AY58" s="64">
        <f t="shared" si="52"/>
        <v>0</v>
      </c>
      <c r="AZ58" s="62">
        <f>+Z58</f>
        <v>0</v>
      </c>
      <c r="BA58" s="63">
        <f>+AA58</f>
        <v>0</v>
      </c>
      <c r="BB58" s="64">
        <f>+AB58</f>
        <v>0</v>
      </c>
      <c r="BC58" s="87">
        <v>0</v>
      </c>
      <c r="BD58" s="88">
        <v>0</v>
      </c>
      <c r="BE58" s="89">
        <v>0</v>
      </c>
      <c r="BF58" s="62">
        <f t="shared" si="32"/>
        <v>16675.839926000001</v>
      </c>
      <c r="BG58" s="63">
        <f t="shared" si="12"/>
        <v>385.38</v>
      </c>
      <c r="BH58" s="64">
        <f t="shared" si="12"/>
        <v>123.86</v>
      </c>
      <c r="BI58" s="94">
        <f t="shared" si="53"/>
        <v>16419.333259333336</v>
      </c>
      <c r="BJ58" s="95">
        <f t="shared" si="54"/>
        <v>312.55333333333334</v>
      </c>
      <c r="BK58" s="96">
        <f t="shared" si="55"/>
        <v>123.86</v>
      </c>
      <c r="BL58" s="87">
        <v>675.39</v>
      </c>
      <c r="BM58" s="88"/>
      <c r="BN58" s="88">
        <v>2.39</v>
      </c>
      <c r="BO58" s="89">
        <v>0</v>
      </c>
      <c r="BP58" s="62">
        <f t="shared" si="33"/>
        <v>15933.933259333338</v>
      </c>
      <c r="BQ58" s="63">
        <f t="shared" si="16"/>
        <v>367.17333333333335</v>
      </c>
      <c r="BR58" s="64">
        <f t="shared" si="34"/>
        <v>123.86</v>
      </c>
      <c r="BS58" s="62">
        <f t="shared" si="17"/>
        <v>16675.839926000001</v>
      </c>
      <c r="BT58" s="62">
        <f t="shared" si="17"/>
        <v>385.38</v>
      </c>
      <c r="BU58" s="100">
        <f t="shared" si="17"/>
        <v>123.86</v>
      </c>
      <c r="BV58" s="62">
        <f t="shared" si="35"/>
        <v>192.38</v>
      </c>
      <c r="BW58" s="63">
        <f t="shared" si="35"/>
        <v>54.62</v>
      </c>
      <c r="BX58" s="64">
        <f t="shared" si="35"/>
        <v>0</v>
      </c>
      <c r="BY58" s="62">
        <f t="shared" si="35"/>
        <v>0</v>
      </c>
      <c r="BZ58" s="62">
        <f t="shared" si="19"/>
        <v>0</v>
      </c>
      <c r="CA58" s="100">
        <f t="shared" si="19"/>
        <v>0</v>
      </c>
      <c r="CB58" s="62">
        <f t="shared" si="19"/>
        <v>0</v>
      </c>
      <c r="CC58" s="62">
        <f t="shared" si="19"/>
        <v>0</v>
      </c>
      <c r="CD58" s="100">
        <f t="shared" si="19"/>
        <v>0</v>
      </c>
      <c r="CE58" s="62">
        <f t="shared" si="36"/>
        <v>16868.219926000002</v>
      </c>
      <c r="CF58" s="63">
        <f t="shared" si="20"/>
        <v>440</v>
      </c>
      <c r="CG58" s="64">
        <f t="shared" si="20"/>
        <v>123.86</v>
      </c>
      <c r="CH58" s="94">
        <f t="shared" si="56"/>
        <v>16568.962156444446</v>
      </c>
      <c r="CI58" s="95">
        <f t="shared" si="57"/>
        <v>355.03555555555562</v>
      </c>
      <c r="CJ58" s="96">
        <f t="shared" si="58"/>
        <v>123.86</v>
      </c>
      <c r="CK58" s="87">
        <v>675.39</v>
      </c>
      <c r="CL58" s="88"/>
      <c r="CM58" s="88">
        <v>2.39</v>
      </c>
      <c r="CN58" s="89">
        <v>0</v>
      </c>
      <c r="CO58" s="62">
        <f t="shared" si="37"/>
        <v>16083.562156444448</v>
      </c>
      <c r="CP58" s="63">
        <f t="shared" si="24"/>
        <v>409.65555555555562</v>
      </c>
      <c r="CQ58" s="64">
        <f t="shared" si="38"/>
        <v>123.86</v>
      </c>
    </row>
    <row r="59" spans="1:95" ht="14.5" x14ac:dyDescent="0.35">
      <c r="A59" s="61" t="s">
        <v>424</v>
      </c>
      <c r="B59" s="87">
        <v>22257.88</v>
      </c>
      <c r="C59" s="88">
        <v>584.5</v>
      </c>
      <c r="D59" s="89">
        <v>167.47</v>
      </c>
      <c r="E59" s="87">
        <v>22257.879993000002</v>
      </c>
      <c r="F59" s="88">
        <v>584.5</v>
      </c>
      <c r="G59" s="89">
        <v>167.47</v>
      </c>
      <c r="H59" s="87">
        <v>0</v>
      </c>
      <c r="I59" s="88">
        <v>0</v>
      </c>
      <c r="J59" s="89">
        <v>0</v>
      </c>
      <c r="K59" s="87">
        <v>0</v>
      </c>
      <c r="L59" s="88">
        <v>0</v>
      </c>
      <c r="M59" s="89">
        <v>0</v>
      </c>
      <c r="N59" s="87">
        <v>-4298.87</v>
      </c>
      <c r="O59" s="88">
        <v>-60.76</v>
      </c>
      <c r="P59" s="89">
        <v>3.69</v>
      </c>
      <c r="Q59" s="62">
        <f t="shared" si="25"/>
        <v>17959.009993000003</v>
      </c>
      <c r="R59" s="63">
        <f t="shared" si="0"/>
        <v>523.74</v>
      </c>
      <c r="S59" s="64">
        <f t="shared" si="0"/>
        <v>171.16</v>
      </c>
      <c r="T59" s="62">
        <f t="shared" si="26"/>
        <v>17959.009993000003</v>
      </c>
      <c r="U59" s="63">
        <f t="shared" si="1"/>
        <v>523.74</v>
      </c>
      <c r="V59" s="64">
        <f t="shared" si="1"/>
        <v>171.16</v>
      </c>
      <c r="W59" s="62">
        <f t="shared" si="27"/>
        <v>0</v>
      </c>
      <c r="X59" s="63">
        <f t="shared" si="2"/>
        <v>0</v>
      </c>
      <c r="Y59" s="64">
        <f t="shared" si="2"/>
        <v>0</v>
      </c>
      <c r="Z59" s="90">
        <v>4237.8093659999995</v>
      </c>
      <c r="AA59" s="90">
        <v>58.979284</v>
      </c>
      <c r="AB59" s="90">
        <v>-4.2719439999999995</v>
      </c>
      <c r="AC59" s="115">
        <v>0</v>
      </c>
      <c r="AD59" s="115">
        <v>0</v>
      </c>
      <c r="AE59" s="115">
        <v>0</v>
      </c>
      <c r="AF59" s="62">
        <f t="shared" si="28"/>
        <v>22196.819359000001</v>
      </c>
      <c r="AG59" s="63">
        <f t="shared" si="3"/>
        <v>582.71928400000002</v>
      </c>
      <c r="AH59" s="64">
        <f t="shared" si="3"/>
        <v>166.88805600000001</v>
      </c>
      <c r="AI59" s="94">
        <f t="shared" si="29"/>
        <v>20804.569784000003</v>
      </c>
      <c r="AJ59" s="95">
        <f t="shared" si="4"/>
        <v>563.65309466666668</v>
      </c>
      <c r="AK59" s="96">
        <f t="shared" si="4"/>
        <v>168.50601866666668</v>
      </c>
      <c r="AL59" s="97">
        <v>247.18</v>
      </c>
      <c r="AM59" s="98"/>
      <c r="AN59" s="98"/>
      <c r="AO59" s="99"/>
      <c r="AP59" s="62">
        <f t="shared" si="30"/>
        <v>20557.389784000003</v>
      </c>
      <c r="AQ59" s="63">
        <f t="shared" si="30"/>
        <v>563.65309466666668</v>
      </c>
      <c r="AR59" s="63">
        <f t="shared" si="31"/>
        <v>168.50601866666668</v>
      </c>
      <c r="AS59" s="64">
        <f t="shared" si="5"/>
        <v>166.88805600000001</v>
      </c>
      <c r="AT59" s="62">
        <f t="shared" si="47"/>
        <v>22196.819359000001</v>
      </c>
      <c r="AU59" s="62">
        <f t="shared" si="48"/>
        <v>582.71928400000002</v>
      </c>
      <c r="AV59" s="100">
        <f t="shared" si="49"/>
        <v>166.88805600000001</v>
      </c>
      <c r="AW59" s="62">
        <f t="shared" si="50"/>
        <v>0</v>
      </c>
      <c r="AX59" s="63">
        <f t="shared" si="51"/>
        <v>0</v>
      </c>
      <c r="AY59" s="64">
        <f t="shared" si="52"/>
        <v>0</v>
      </c>
      <c r="AZ59" s="110">
        <f>+AC59</f>
        <v>0</v>
      </c>
      <c r="BA59" s="111">
        <f>+AD59</f>
        <v>0</v>
      </c>
      <c r="BB59" s="112">
        <f>+AE59</f>
        <v>0</v>
      </c>
      <c r="BC59" s="87">
        <v>-75.469185844399988</v>
      </c>
      <c r="BD59" s="88">
        <v>-1.9812455655999999</v>
      </c>
      <c r="BE59" s="89">
        <v>-0.5674193904</v>
      </c>
      <c r="BF59" s="62">
        <f t="shared" si="32"/>
        <v>22121.350173155603</v>
      </c>
      <c r="BG59" s="63">
        <f t="shared" si="12"/>
        <v>580.73803843439998</v>
      </c>
      <c r="BH59" s="64">
        <f t="shared" si="12"/>
        <v>166.3206366096</v>
      </c>
      <c r="BI59" s="94">
        <f t="shared" si="53"/>
        <v>20759.059841718536</v>
      </c>
      <c r="BJ59" s="95">
        <f t="shared" si="54"/>
        <v>562.39910747813337</v>
      </c>
      <c r="BK59" s="96">
        <f t="shared" si="55"/>
        <v>168.12289753653332</v>
      </c>
      <c r="BL59" s="87">
        <v>247.18</v>
      </c>
      <c r="BM59" s="88"/>
      <c r="BN59" s="88"/>
      <c r="BO59" s="89"/>
      <c r="BP59" s="62">
        <f t="shared" si="33"/>
        <v>20511.879841718535</v>
      </c>
      <c r="BQ59" s="63">
        <f t="shared" si="16"/>
        <v>562.39910747813337</v>
      </c>
      <c r="BR59" s="64">
        <f t="shared" si="34"/>
        <v>168.12289753653332</v>
      </c>
      <c r="BS59" s="62">
        <f t="shared" si="17"/>
        <v>22121.350173155603</v>
      </c>
      <c r="BT59" s="62">
        <f t="shared" si="17"/>
        <v>580.73803843439998</v>
      </c>
      <c r="BU59" s="100">
        <f t="shared" si="17"/>
        <v>166.3206366096</v>
      </c>
      <c r="BV59" s="62">
        <f t="shared" si="35"/>
        <v>0</v>
      </c>
      <c r="BW59" s="63">
        <f t="shared" si="35"/>
        <v>0</v>
      </c>
      <c r="BX59" s="64">
        <f t="shared" si="35"/>
        <v>0</v>
      </c>
      <c r="BY59" s="62">
        <f t="shared" si="35"/>
        <v>0</v>
      </c>
      <c r="BZ59" s="62">
        <f t="shared" si="19"/>
        <v>0</v>
      </c>
      <c r="CA59" s="100">
        <f t="shared" si="19"/>
        <v>0</v>
      </c>
      <c r="CB59" s="101">
        <f>-(BS59*0.0034)</f>
        <v>-75.212590588729043</v>
      </c>
      <c r="CC59" s="101">
        <f>-(BT59*0.0034)</f>
        <v>-1.9745093306769599</v>
      </c>
      <c r="CD59" s="102">
        <f>-(BU59*0.0034)</f>
        <v>-0.56549016447264</v>
      </c>
      <c r="CE59" s="62">
        <f t="shared" si="36"/>
        <v>22046.137582566873</v>
      </c>
      <c r="CF59" s="63">
        <f t="shared" si="20"/>
        <v>578.76352910372304</v>
      </c>
      <c r="CG59" s="64">
        <f t="shared" si="20"/>
        <v>165.75514644512737</v>
      </c>
      <c r="CH59" s="94">
        <f t="shared" si="56"/>
        <v>21203.255736095136</v>
      </c>
      <c r="CI59" s="95">
        <f t="shared" si="57"/>
        <v>568.27191041617436</v>
      </c>
      <c r="CJ59" s="96">
        <f t="shared" si="58"/>
        <v>167.46135421610913</v>
      </c>
      <c r="CK59" s="87">
        <v>247.18</v>
      </c>
      <c r="CL59" s="88"/>
      <c r="CM59" s="88"/>
      <c r="CN59" s="89"/>
      <c r="CO59" s="62">
        <f t="shared" si="37"/>
        <v>20956.075736095136</v>
      </c>
      <c r="CP59" s="63">
        <f t="shared" si="24"/>
        <v>568.27191041617436</v>
      </c>
      <c r="CQ59" s="64">
        <f t="shared" si="38"/>
        <v>167.46135421610913</v>
      </c>
    </row>
    <row r="60" spans="1:95" ht="14.5" x14ac:dyDescent="0.35">
      <c r="A60" s="61" t="s">
        <v>425</v>
      </c>
      <c r="B60" s="87">
        <v>9141.48</v>
      </c>
      <c r="C60" s="88">
        <v>392.17</v>
      </c>
      <c r="D60" s="89">
        <v>166.56</v>
      </c>
      <c r="E60" s="87">
        <v>9141.4800400000022</v>
      </c>
      <c r="F60" s="88">
        <v>392.17000000000007</v>
      </c>
      <c r="G60" s="89">
        <v>166.56</v>
      </c>
      <c r="H60" s="87">
        <v>266.51</v>
      </c>
      <c r="I60" s="88">
        <v>104.33</v>
      </c>
      <c r="J60" s="89">
        <v>18.36</v>
      </c>
      <c r="K60" s="87">
        <v>0</v>
      </c>
      <c r="L60" s="88">
        <v>0</v>
      </c>
      <c r="M60" s="89">
        <v>0</v>
      </c>
      <c r="N60" s="87">
        <v>0</v>
      </c>
      <c r="O60" s="88">
        <v>0</v>
      </c>
      <c r="P60" s="89">
        <v>0</v>
      </c>
      <c r="Q60" s="62">
        <f t="shared" si="25"/>
        <v>9407.9900400000024</v>
      </c>
      <c r="R60" s="63">
        <f t="shared" si="0"/>
        <v>496.50000000000006</v>
      </c>
      <c r="S60" s="64">
        <f t="shared" si="0"/>
        <v>184.92000000000002</v>
      </c>
      <c r="T60" s="62">
        <f t="shared" si="26"/>
        <v>9407.9900400000024</v>
      </c>
      <c r="U60" s="63">
        <f t="shared" si="1"/>
        <v>496.50000000000006</v>
      </c>
      <c r="V60" s="64">
        <f t="shared" si="1"/>
        <v>184.92000000000002</v>
      </c>
      <c r="W60" s="62">
        <f t="shared" si="27"/>
        <v>266.51</v>
      </c>
      <c r="X60" s="63">
        <f t="shared" si="2"/>
        <v>104.33</v>
      </c>
      <c r="Y60" s="64">
        <f t="shared" si="2"/>
        <v>18.36</v>
      </c>
      <c r="Z60" s="113">
        <v>0</v>
      </c>
      <c r="AA60" s="113">
        <v>0</v>
      </c>
      <c r="AB60" s="113">
        <v>0</v>
      </c>
      <c r="AC60" s="115">
        <v>0</v>
      </c>
      <c r="AD60" s="115">
        <v>0</v>
      </c>
      <c r="AE60" s="115">
        <v>0</v>
      </c>
      <c r="AF60" s="62">
        <f t="shared" si="28"/>
        <v>9674.5000400000026</v>
      </c>
      <c r="AG60" s="63">
        <f t="shared" si="3"/>
        <v>600.83000000000004</v>
      </c>
      <c r="AH60" s="64">
        <f t="shared" si="3"/>
        <v>203.28000000000003</v>
      </c>
      <c r="AI60" s="94">
        <f t="shared" si="29"/>
        <v>9319.1533600000021</v>
      </c>
      <c r="AJ60" s="95">
        <f t="shared" si="4"/>
        <v>461.72333333333336</v>
      </c>
      <c r="AK60" s="96">
        <f t="shared" si="4"/>
        <v>178.79999999999998</v>
      </c>
      <c r="AL60" s="97">
        <v>335.52</v>
      </c>
      <c r="AM60" s="98"/>
      <c r="AN60" s="98"/>
      <c r="AO60" s="99"/>
      <c r="AP60" s="62">
        <f t="shared" si="30"/>
        <v>9250.1433600000018</v>
      </c>
      <c r="AQ60" s="63">
        <f t="shared" si="30"/>
        <v>566.0533333333334</v>
      </c>
      <c r="AR60" s="63">
        <f t="shared" si="31"/>
        <v>197.15999999999997</v>
      </c>
      <c r="AS60" s="64">
        <f t="shared" si="5"/>
        <v>203.28000000000003</v>
      </c>
      <c r="AT60" s="62">
        <f t="shared" si="47"/>
        <v>9674.5000400000026</v>
      </c>
      <c r="AU60" s="62">
        <f t="shared" si="48"/>
        <v>600.83000000000004</v>
      </c>
      <c r="AV60" s="100">
        <f t="shared" si="49"/>
        <v>203.28000000000003</v>
      </c>
      <c r="AW60" s="62">
        <f t="shared" si="50"/>
        <v>266.51</v>
      </c>
      <c r="AX60" s="63">
        <f t="shared" si="51"/>
        <v>104.33</v>
      </c>
      <c r="AY60" s="64">
        <f t="shared" si="52"/>
        <v>18.36</v>
      </c>
      <c r="AZ60" s="62">
        <f>+Z60</f>
        <v>0</v>
      </c>
      <c r="BA60" s="63">
        <f>+AA60</f>
        <v>0</v>
      </c>
      <c r="BB60" s="64">
        <f>+AB60</f>
        <v>0</v>
      </c>
      <c r="BC60" s="87">
        <v>0</v>
      </c>
      <c r="BD60" s="88">
        <v>0</v>
      </c>
      <c r="BE60" s="89">
        <v>0</v>
      </c>
      <c r="BF60" s="62">
        <f t="shared" si="32"/>
        <v>9941.0100400000028</v>
      </c>
      <c r="BG60" s="63">
        <f t="shared" si="12"/>
        <v>705.16000000000008</v>
      </c>
      <c r="BH60" s="64">
        <f t="shared" si="12"/>
        <v>221.64000000000004</v>
      </c>
      <c r="BI60" s="94">
        <f t="shared" si="53"/>
        <v>9585.6633733333347</v>
      </c>
      <c r="BJ60" s="95">
        <f t="shared" si="54"/>
        <v>566.0533333333334</v>
      </c>
      <c r="BK60" s="96">
        <f t="shared" si="55"/>
        <v>197.16000000000005</v>
      </c>
      <c r="BL60" s="87">
        <v>335.52</v>
      </c>
      <c r="BM60" s="88"/>
      <c r="BN60" s="88"/>
      <c r="BO60" s="89"/>
      <c r="BP60" s="62">
        <f t="shared" si="33"/>
        <v>9516.6533733333345</v>
      </c>
      <c r="BQ60" s="63">
        <f t="shared" si="16"/>
        <v>670.38333333333344</v>
      </c>
      <c r="BR60" s="64">
        <f t="shared" si="34"/>
        <v>215.52000000000004</v>
      </c>
      <c r="BS60" s="62">
        <f t="shared" si="17"/>
        <v>9941.0100400000028</v>
      </c>
      <c r="BT60" s="62">
        <f t="shared" si="17"/>
        <v>705.16000000000008</v>
      </c>
      <c r="BU60" s="100">
        <f t="shared" si="17"/>
        <v>221.64000000000004</v>
      </c>
      <c r="BV60" s="62">
        <f t="shared" si="35"/>
        <v>266.51</v>
      </c>
      <c r="BW60" s="63">
        <f t="shared" si="35"/>
        <v>104.33</v>
      </c>
      <c r="BX60" s="64">
        <f t="shared" si="35"/>
        <v>18.36</v>
      </c>
      <c r="BY60" s="62">
        <f t="shared" si="35"/>
        <v>0</v>
      </c>
      <c r="BZ60" s="62">
        <f t="shared" si="19"/>
        <v>0</v>
      </c>
      <c r="CA60" s="100">
        <f t="shared" si="19"/>
        <v>0</v>
      </c>
      <c r="CB60" s="62">
        <f>+BC60</f>
        <v>0</v>
      </c>
      <c r="CC60" s="62">
        <f>+BD60</f>
        <v>0</v>
      </c>
      <c r="CD60" s="100">
        <f>+BE60</f>
        <v>0</v>
      </c>
      <c r="CE60" s="62">
        <f t="shared" si="36"/>
        <v>10207.520040000003</v>
      </c>
      <c r="CF60" s="63">
        <f t="shared" si="20"/>
        <v>809.49000000000012</v>
      </c>
      <c r="CG60" s="64">
        <f t="shared" si="20"/>
        <v>240.00000000000006</v>
      </c>
      <c r="CH60" s="94">
        <f t="shared" si="56"/>
        <v>9792.9489244444467</v>
      </c>
      <c r="CI60" s="95">
        <f t="shared" si="57"/>
        <v>647.19888888888897</v>
      </c>
      <c r="CJ60" s="96">
        <f t="shared" si="58"/>
        <v>211.44000000000003</v>
      </c>
      <c r="CK60" s="87">
        <v>335.52</v>
      </c>
      <c r="CL60" s="88"/>
      <c r="CM60" s="88"/>
      <c r="CN60" s="89"/>
      <c r="CO60" s="62">
        <f t="shared" si="37"/>
        <v>9723.9389244444465</v>
      </c>
      <c r="CP60" s="63">
        <f t="shared" si="24"/>
        <v>751.52888888888901</v>
      </c>
      <c r="CQ60" s="64">
        <f t="shared" si="38"/>
        <v>229.8</v>
      </c>
    </row>
    <row r="61" spans="1:95" ht="14.5" x14ac:dyDescent="0.35">
      <c r="A61" s="61" t="s">
        <v>426</v>
      </c>
      <c r="B61" s="87">
        <v>7040.15</v>
      </c>
      <c r="C61" s="88">
        <v>148.21</v>
      </c>
      <c r="D61" s="89">
        <v>34.700000000000003</v>
      </c>
      <c r="E61" s="87">
        <v>7040.1499189999986</v>
      </c>
      <c r="F61" s="88">
        <v>148.20999999999998</v>
      </c>
      <c r="G61" s="89">
        <v>34.699999999999996</v>
      </c>
      <c r="H61" s="87">
        <v>0</v>
      </c>
      <c r="I61" s="88">
        <v>0</v>
      </c>
      <c r="J61" s="89">
        <v>0</v>
      </c>
      <c r="K61" s="87">
        <v>0</v>
      </c>
      <c r="L61" s="88">
        <v>0</v>
      </c>
      <c r="M61" s="89">
        <v>0</v>
      </c>
      <c r="N61" s="87">
        <v>-950.84</v>
      </c>
      <c r="O61" s="88">
        <v>-5.96</v>
      </c>
      <c r="P61" s="89">
        <v>-20.149999999999999</v>
      </c>
      <c r="Q61" s="62">
        <f t="shared" si="25"/>
        <v>6089.3099189999984</v>
      </c>
      <c r="R61" s="63">
        <f t="shared" si="0"/>
        <v>142.24999999999997</v>
      </c>
      <c r="S61" s="64">
        <f t="shared" si="0"/>
        <v>14.549999999999997</v>
      </c>
      <c r="T61" s="62">
        <f t="shared" si="26"/>
        <v>6089.3099189999984</v>
      </c>
      <c r="U61" s="63">
        <f t="shared" si="1"/>
        <v>142.24999999999997</v>
      </c>
      <c r="V61" s="64">
        <f t="shared" si="1"/>
        <v>14.549999999999997</v>
      </c>
      <c r="W61" s="62">
        <f t="shared" si="27"/>
        <v>0</v>
      </c>
      <c r="X61" s="63">
        <f t="shared" si="2"/>
        <v>0</v>
      </c>
      <c r="Y61" s="64">
        <f t="shared" si="2"/>
        <v>0</v>
      </c>
      <c r="Z61" s="90">
        <v>930.136346</v>
      </c>
      <c r="AA61" s="90">
        <v>5.4763500000000001</v>
      </c>
      <c r="AB61" s="90">
        <v>20.100529999999999</v>
      </c>
      <c r="AC61" s="115">
        <v>0</v>
      </c>
      <c r="AD61" s="115">
        <v>0</v>
      </c>
      <c r="AE61" s="115">
        <v>0</v>
      </c>
      <c r="AF61" s="62">
        <f t="shared" si="28"/>
        <v>7019.4462649999987</v>
      </c>
      <c r="AG61" s="63">
        <f t="shared" si="3"/>
        <v>147.72634999999997</v>
      </c>
      <c r="AH61" s="64">
        <f t="shared" si="3"/>
        <v>34.650529999999996</v>
      </c>
      <c r="AI61" s="94">
        <f t="shared" si="29"/>
        <v>6716.3020613333319</v>
      </c>
      <c r="AJ61" s="95">
        <f t="shared" si="4"/>
        <v>146.06211666666664</v>
      </c>
      <c r="AK61" s="96">
        <f t="shared" si="4"/>
        <v>27.966843333333333</v>
      </c>
      <c r="AL61" s="97">
        <v>618.34</v>
      </c>
      <c r="AM61" s="98"/>
      <c r="AN61" s="98"/>
      <c r="AO61" s="99"/>
      <c r="AP61" s="62">
        <f t="shared" si="30"/>
        <v>6097.9620613333318</v>
      </c>
      <c r="AQ61" s="63">
        <f t="shared" si="30"/>
        <v>146.06211666666664</v>
      </c>
      <c r="AR61" s="63">
        <f t="shared" si="31"/>
        <v>27.966843333333333</v>
      </c>
      <c r="AS61" s="64">
        <f t="shared" si="5"/>
        <v>34.650529999999996</v>
      </c>
      <c r="AT61" s="62">
        <f t="shared" si="47"/>
        <v>7019.4462649999987</v>
      </c>
      <c r="AU61" s="62">
        <f t="shared" si="48"/>
        <v>147.72634999999997</v>
      </c>
      <c r="AV61" s="100">
        <f t="shared" si="49"/>
        <v>34.650529999999996</v>
      </c>
      <c r="AW61" s="62">
        <f t="shared" si="50"/>
        <v>0</v>
      </c>
      <c r="AX61" s="63">
        <f t="shared" si="51"/>
        <v>0</v>
      </c>
      <c r="AY61" s="64">
        <f t="shared" si="52"/>
        <v>0</v>
      </c>
      <c r="AZ61" s="110">
        <f>+AC61</f>
        <v>0</v>
      </c>
      <c r="BA61" s="111">
        <f>+AD61</f>
        <v>0</v>
      </c>
      <c r="BB61" s="112">
        <f>+AE61</f>
        <v>0</v>
      </c>
      <c r="BC61" s="87">
        <v>-23.866117576400001</v>
      </c>
      <c r="BD61" s="88">
        <v>-0.50226958999999993</v>
      </c>
      <c r="BE61" s="89">
        <v>-0.11781180200000001</v>
      </c>
      <c r="BF61" s="62">
        <f t="shared" si="32"/>
        <v>6995.5801474235986</v>
      </c>
      <c r="BG61" s="63">
        <f t="shared" si="12"/>
        <v>147.22408040999997</v>
      </c>
      <c r="BH61" s="64">
        <f t="shared" si="12"/>
        <v>34.532718197999998</v>
      </c>
      <c r="BI61" s="94">
        <f t="shared" si="53"/>
        <v>6701.4454438078656</v>
      </c>
      <c r="BJ61" s="95">
        <f t="shared" si="54"/>
        <v>145.73347680333328</v>
      </c>
      <c r="BK61" s="96">
        <f t="shared" si="55"/>
        <v>27.91108273266666</v>
      </c>
      <c r="BL61" s="87">
        <v>618.34</v>
      </c>
      <c r="BM61" s="88"/>
      <c r="BN61" s="88"/>
      <c r="BO61" s="89"/>
      <c r="BP61" s="62">
        <f t="shared" si="33"/>
        <v>6083.1054438078654</v>
      </c>
      <c r="BQ61" s="63">
        <f t="shared" si="16"/>
        <v>145.73347680333328</v>
      </c>
      <c r="BR61" s="64">
        <f t="shared" si="34"/>
        <v>27.91108273266666</v>
      </c>
      <c r="BS61" s="62">
        <f t="shared" si="17"/>
        <v>6995.5801474235986</v>
      </c>
      <c r="BT61" s="62">
        <f t="shared" si="17"/>
        <v>147.22408040999997</v>
      </c>
      <c r="BU61" s="100">
        <f t="shared" si="17"/>
        <v>34.532718197999998</v>
      </c>
      <c r="BV61" s="62">
        <f t="shared" si="35"/>
        <v>0</v>
      </c>
      <c r="BW61" s="63">
        <f t="shared" si="35"/>
        <v>0</v>
      </c>
      <c r="BX61" s="64">
        <f t="shared" si="35"/>
        <v>0</v>
      </c>
      <c r="BY61" s="62">
        <f t="shared" si="35"/>
        <v>0</v>
      </c>
      <c r="BZ61" s="62">
        <f t="shared" si="19"/>
        <v>0</v>
      </c>
      <c r="CA61" s="100">
        <f t="shared" si="19"/>
        <v>0</v>
      </c>
      <c r="CB61" s="101">
        <f t="shared" ref="CB61:CD62" si="65">-(BS61*0.0034)</f>
        <v>-23.784972501240233</v>
      </c>
      <c r="CC61" s="101">
        <f t="shared" si="65"/>
        <v>-0.50056187339399982</v>
      </c>
      <c r="CD61" s="102">
        <f t="shared" si="65"/>
        <v>-0.11741124187319998</v>
      </c>
      <c r="CE61" s="62">
        <f t="shared" si="36"/>
        <v>6971.7951749223585</v>
      </c>
      <c r="CF61" s="63">
        <f t="shared" si="20"/>
        <v>146.72351853660598</v>
      </c>
      <c r="CG61" s="64">
        <f t="shared" si="20"/>
        <v>34.415306956126798</v>
      </c>
      <c r="CH61" s="94">
        <f t="shared" si="56"/>
        <v>6796.5142266878511</v>
      </c>
      <c r="CI61" s="95">
        <f t="shared" si="57"/>
        <v>146.1730373355353</v>
      </c>
      <c r="CJ61" s="96">
        <f t="shared" si="58"/>
        <v>30.097744340708932</v>
      </c>
      <c r="CK61" s="87">
        <v>618.34</v>
      </c>
      <c r="CL61" s="88"/>
      <c r="CM61" s="88"/>
      <c r="CN61" s="89"/>
      <c r="CO61" s="62">
        <f t="shared" si="37"/>
        <v>6178.1742266878509</v>
      </c>
      <c r="CP61" s="63">
        <f t="shared" si="24"/>
        <v>146.1730373355353</v>
      </c>
      <c r="CQ61" s="64">
        <f t="shared" si="38"/>
        <v>30.097744340708932</v>
      </c>
    </row>
    <row r="62" spans="1:95" ht="14.5" x14ac:dyDescent="0.35">
      <c r="A62" s="61" t="s">
        <v>427</v>
      </c>
      <c r="B62" s="87">
        <v>12366.82</v>
      </c>
      <c r="C62" s="88">
        <v>274.82</v>
      </c>
      <c r="D62" s="89">
        <v>0</v>
      </c>
      <c r="E62" s="87">
        <v>12366.82</v>
      </c>
      <c r="F62" s="88">
        <v>274.82</v>
      </c>
      <c r="G62" s="89">
        <v>0</v>
      </c>
      <c r="H62" s="87">
        <v>20.727</v>
      </c>
      <c r="I62" s="88">
        <v>36.26</v>
      </c>
      <c r="J62" s="89">
        <v>0</v>
      </c>
      <c r="K62" s="87">
        <v>2191.143</v>
      </c>
      <c r="L62" s="88">
        <v>0</v>
      </c>
      <c r="M62" s="89">
        <v>0</v>
      </c>
      <c r="N62" s="87">
        <v>0</v>
      </c>
      <c r="O62" s="88">
        <v>0</v>
      </c>
      <c r="P62" s="89">
        <v>0</v>
      </c>
      <c r="Q62" s="62">
        <f t="shared" si="25"/>
        <v>14578.69</v>
      </c>
      <c r="R62" s="63">
        <f t="shared" si="0"/>
        <v>311.08</v>
      </c>
      <c r="S62" s="64">
        <f t="shared" si="0"/>
        <v>0</v>
      </c>
      <c r="T62" s="62">
        <f t="shared" si="26"/>
        <v>14578.69</v>
      </c>
      <c r="U62" s="63">
        <f t="shared" si="1"/>
        <v>311.08</v>
      </c>
      <c r="V62" s="64">
        <f t="shared" si="1"/>
        <v>0</v>
      </c>
      <c r="W62" s="62">
        <f t="shared" si="27"/>
        <v>20.727</v>
      </c>
      <c r="X62" s="63">
        <f t="shared" si="2"/>
        <v>36.26</v>
      </c>
      <c r="Y62" s="64">
        <f t="shared" si="2"/>
        <v>0</v>
      </c>
      <c r="Z62" s="113">
        <v>0</v>
      </c>
      <c r="AA62" s="113">
        <v>0</v>
      </c>
      <c r="AB62" s="113">
        <v>0</v>
      </c>
      <c r="AC62" s="108">
        <v>-49.567546</v>
      </c>
      <c r="AD62" s="108">
        <v>-1.0576719999999999</v>
      </c>
      <c r="AE62" s="108">
        <v>0</v>
      </c>
      <c r="AF62" s="62">
        <f t="shared" si="28"/>
        <v>14549.849454000001</v>
      </c>
      <c r="AG62" s="63">
        <f t="shared" si="3"/>
        <v>346.28232799999995</v>
      </c>
      <c r="AH62" s="64">
        <f t="shared" si="3"/>
        <v>0</v>
      </c>
      <c r="AI62" s="94">
        <f t="shared" si="29"/>
        <v>13824.877484666669</v>
      </c>
      <c r="AJ62" s="95">
        <f t="shared" si="4"/>
        <v>298.64077599999996</v>
      </c>
      <c r="AK62" s="96">
        <f t="shared" si="4"/>
        <v>0</v>
      </c>
      <c r="AL62" s="97">
        <v>214.52</v>
      </c>
      <c r="AM62" s="98"/>
      <c r="AN62" s="98"/>
      <c r="AO62" s="99"/>
      <c r="AP62" s="62">
        <f t="shared" si="30"/>
        <v>13631.08448466667</v>
      </c>
      <c r="AQ62" s="63">
        <f t="shared" si="30"/>
        <v>334.90077599999995</v>
      </c>
      <c r="AR62" s="63">
        <f t="shared" si="31"/>
        <v>0</v>
      </c>
      <c r="AS62" s="64">
        <f t="shared" si="5"/>
        <v>0</v>
      </c>
      <c r="AT62" s="62">
        <f t="shared" si="47"/>
        <v>14549.849454000001</v>
      </c>
      <c r="AU62" s="62">
        <f t="shared" si="48"/>
        <v>346.28232799999995</v>
      </c>
      <c r="AV62" s="100">
        <f t="shared" si="49"/>
        <v>0</v>
      </c>
      <c r="AW62" s="62">
        <f t="shared" si="50"/>
        <v>20.727</v>
      </c>
      <c r="AX62" s="63">
        <f t="shared" si="51"/>
        <v>36.26</v>
      </c>
      <c r="AY62" s="64">
        <f t="shared" si="52"/>
        <v>0</v>
      </c>
      <c r="AZ62" s="62">
        <f t="shared" ref="AZ62:BB65" si="66">+Z62</f>
        <v>0</v>
      </c>
      <c r="BA62" s="63">
        <f t="shared" si="66"/>
        <v>0</v>
      </c>
      <c r="BB62" s="64">
        <f t="shared" si="66"/>
        <v>0</v>
      </c>
      <c r="BC62" s="87">
        <v>-49.469488143600003</v>
      </c>
      <c r="BD62" s="88">
        <v>-1.1773599152000001</v>
      </c>
      <c r="BE62" s="89">
        <v>0</v>
      </c>
      <c r="BF62" s="62">
        <f t="shared" si="32"/>
        <v>14521.106965856401</v>
      </c>
      <c r="BG62" s="63">
        <f t="shared" si="12"/>
        <v>381.36496808479995</v>
      </c>
      <c r="BH62" s="64">
        <f t="shared" si="12"/>
        <v>0</v>
      </c>
      <c r="BI62" s="94">
        <f t="shared" si="53"/>
        <v>14542.973139952135</v>
      </c>
      <c r="BJ62" s="95">
        <f t="shared" si="54"/>
        <v>334.1557653616</v>
      </c>
      <c r="BK62" s="96">
        <f t="shared" si="55"/>
        <v>0</v>
      </c>
      <c r="BL62" s="87">
        <v>214.52</v>
      </c>
      <c r="BM62" s="88"/>
      <c r="BN62" s="88"/>
      <c r="BO62" s="89"/>
      <c r="BP62" s="62">
        <f t="shared" si="33"/>
        <v>14349.180139952136</v>
      </c>
      <c r="BQ62" s="63">
        <f t="shared" si="16"/>
        <v>370.41576536159999</v>
      </c>
      <c r="BR62" s="64">
        <f t="shared" si="34"/>
        <v>0</v>
      </c>
      <c r="BS62" s="62">
        <f t="shared" si="17"/>
        <v>14521.106965856401</v>
      </c>
      <c r="BT62" s="62">
        <f t="shared" si="17"/>
        <v>381.36496808479995</v>
      </c>
      <c r="BU62" s="100">
        <f t="shared" si="17"/>
        <v>0</v>
      </c>
      <c r="BV62" s="62">
        <f t="shared" si="35"/>
        <v>20.727</v>
      </c>
      <c r="BW62" s="63">
        <f t="shared" si="35"/>
        <v>36.26</v>
      </c>
      <c r="BX62" s="64">
        <f t="shared" si="35"/>
        <v>0</v>
      </c>
      <c r="BY62" s="87">
        <v>0</v>
      </c>
      <c r="BZ62" s="88">
        <v>0</v>
      </c>
      <c r="CA62" s="89">
        <v>0</v>
      </c>
      <c r="CB62" s="101">
        <f t="shared" si="65"/>
        <v>-49.371763683911759</v>
      </c>
      <c r="CC62" s="101">
        <f t="shared" si="65"/>
        <v>-1.2966408914883198</v>
      </c>
      <c r="CD62" s="102">
        <f t="shared" si="65"/>
        <v>0</v>
      </c>
      <c r="CE62" s="62">
        <f t="shared" si="36"/>
        <v>14492.46220217249</v>
      </c>
      <c r="CF62" s="63">
        <f t="shared" si="20"/>
        <v>416.32832719331162</v>
      </c>
      <c r="CG62" s="64">
        <f t="shared" si="20"/>
        <v>0</v>
      </c>
      <c r="CH62" s="94">
        <f t="shared" si="56"/>
        <v>14293.679942263765</v>
      </c>
      <c r="CI62" s="95">
        <f t="shared" si="57"/>
        <v>361.79495618497054</v>
      </c>
      <c r="CJ62" s="96">
        <f t="shared" si="58"/>
        <v>0</v>
      </c>
      <c r="CK62" s="87">
        <v>214.52</v>
      </c>
      <c r="CL62" s="88"/>
      <c r="CM62" s="88"/>
      <c r="CN62" s="89"/>
      <c r="CO62" s="62">
        <f t="shared" si="37"/>
        <v>14099.886942263765</v>
      </c>
      <c r="CP62" s="63">
        <f t="shared" si="24"/>
        <v>398.05495618497054</v>
      </c>
      <c r="CQ62" s="64">
        <f t="shared" si="38"/>
        <v>0</v>
      </c>
    </row>
    <row r="63" spans="1:95" ht="14.5" x14ac:dyDescent="0.35">
      <c r="A63" s="61" t="s">
        <v>428</v>
      </c>
      <c r="B63" s="87">
        <v>1935.64</v>
      </c>
      <c r="C63" s="88">
        <v>60.09</v>
      </c>
      <c r="D63" s="89">
        <v>505.14</v>
      </c>
      <c r="E63" s="87">
        <v>1935.6400000000003</v>
      </c>
      <c r="F63" s="88">
        <v>60.089999999999961</v>
      </c>
      <c r="G63" s="89">
        <v>505.14</v>
      </c>
      <c r="H63" s="87">
        <v>-173.16</v>
      </c>
      <c r="I63" s="88">
        <v>0</v>
      </c>
      <c r="J63" s="89">
        <v>173.16</v>
      </c>
      <c r="K63" s="87">
        <v>0</v>
      </c>
      <c r="L63" s="88">
        <v>18.02</v>
      </c>
      <c r="M63" s="89">
        <v>46.8</v>
      </c>
      <c r="N63" s="87">
        <v>0</v>
      </c>
      <c r="O63" s="88">
        <v>0</v>
      </c>
      <c r="P63" s="89">
        <v>0</v>
      </c>
      <c r="Q63" s="62">
        <f t="shared" si="25"/>
        <v>1762.4800000000002</v>
      </c>
      <c r="R63" s="63">
        <f t="shared" si="0"/>
        <v>78.109999999999957</v>
      </c>
      <c r="S63" s="64">
        <f t="shared" si="0"/>
        <v>725.09999999999991</v>
      </c>
      <c r="T63" s="62">
        <f t="shared" si="26"/>
        <v>1762.4800000000002</v>
      </c>
      <c r="U63" s="63">
        <f t="shared" si="1"/>
        <v>78.109999999999957</v>
      </c>
      <c r="V63" s="64">
        <f t="shared" si="1"/>
        <v>725.09999999999991</v>
      </c>
      <c r="W63" s="62">
        <f t="shared" si="27"/>
        <v>-173.16</v>
      </c>
      <c r="X63" s="63">
        <f t="shared" si="2"/>
        <v>0</v>
      </c>
      <c r="Y63" s="64">
        <f t="shared" si="2"/>
        <v>173.16</v>
      </c>
      <c r="Z63" s="105">
        <v>0</v>
      </c>
      <c r="AA63" s="105">
        <v>18.02</v>
      </c>
      <c r="AB63" s="105">
        <v>46.8</v>
      </c>
      <c r="AC63" s="115">
        <v>0</v>
      </c>
      <c r="AD63" s="115">
        <v>0</v>
      </c>
      <c r="AE63" s="115">
        <v>0</v>
      </c>
      <c r="AF63" s="62">
        <f t="shared" si="28"/>
        <v>1589.3200000000002</v>
      </c>
      <c r="AG63" s="63">
        <f t="shared" si="3"/>
        <v>96.129999999999953</v>
      </c>
      <c r="AH63" s="64">
        <f t="shared" si="3"/>
        <v>945.05999999999983</v>
      </c>
      <c r="AI63" s="94">
        <f t="shared" si="29"/>
        <v>1820.2</v>
      </c>
      <c r="AJ63" s="95">
        <f t="shared" si="4"/>
        <v>78.109999999999971</v>
      </c>
      <c r="AK63" s="96">
        <f t="shared" si="4"/>
        <v>667.37999999999988</v>
      </c>
      <c r="AL63" s="97">
        <v>94.43</v>
      </c>
      <c r="AM63" s="98"/>
      <c r="AN63" s="98"/>
      <c r="AO63" s="99"/>
      <c r="AP63" s="62">
        <f t="shared" si="30"/>
        <v>1552.61</v>
      </c>
      <c r="AQ63" s="63">
        <f t="shared" si="30"/>
        <v>78.109999999999971</v>
      </c>
      <c r="AR63" s="63">
        <f t="shared" si="31"/>
        <v>840.53999999999985</v>
      </c>
      <c r="AS63" s="64">
        <f t="shared" si="5"/>
        <v>945.05999999999983</v>
      </c>
      <c r="AT63" s="62">
        <f t="shared" si="47"/>
        <v>1589.3200000000002</v>
      </c>
      <c r="AU63" s="62">
        <f t="shared" si="48"/>
        <v>96.129999999999953</v>
      </c>
      <c r="AV63" s="100">
        <f t="shared" si="49"/>
        <v>945.05999999999983</v>
      </c>
      <c r="AW63" s="62">
        <f t="shared" si="50"/>
        <v>-173.16</v>
      </c>
      <c r="AX63" s="63">
        <f t="shared" si="51"/>
        <v>0</v>
      </c>
      <c r="AY63" s="64">
        <f t="shared" si="52"/>
        <v>173.16</v>
      </c>
      <c r="AZ63" s="62">
        <f t="shared" si="66"/>
        <v>0</v>
      </c>
      <c r="BA63" s="63">
        <f t="shared" si="66"/>
        <v>18.02</v>
      </c>
      <c r="BB63" s="64">
        <f t="shared" si="66"/>
        <v>46.8</v>
      </c>
      <c r="BC63" s="87">
        <v>0</v>
      </c>
      <c r="BD63" s="88">
        <v>0</v>
      </c>
      <c r="BE63" s="89">
        <v>0</v>
      </c>
      <c r="BF63" s="62">
        <f t="shared" si="32"/>
        <v>1416.16</v>
      </c>
      <c r="BG63" s="63">
        <f t="shared" si="12"/>
        <v>114.14999999999995</v>
      </c>
      <c r="BH63" s="64">
        <f t="shared" si="12"/>
        <v>1165.0199999999998</v>
      </c>
      <c r="BI63" s="94">
        <f t="shared" si="53"/>
        <v>1647.04</v>
      </c>
      <c r="BJ63" s="95">
        <f t="shared" si="54"/>
        <v>90.123333333333292</v>
      </c>
      <c r="BK63" s="96">
        <f t="shared" si="55"/>
        <v>871.73999999999978</v>
      </c>
      <c r="BL63" s="87">
        <v>94.43</v>
      </c>
      <c r="BM63" s="88"/>
      <c r="BN63" s="88"/>
      <c r="BO63" s="89"/>
      <c r="BP63" s="62">
        <f t="shared" si="33"/>
        <v>1379.4499999999998</v>
      </c>
      <c r="BQ63" s="63">
        <f t="shared" si="16"/>
        <v>108.14333333333329</v>
      </c>
      <c r="BR63" s="64">
        <f t="shared" si="34"/>
        <v>1091.6999999999998</v>
      </c>
      <c r="BS63" s="62">
        <f t="shared" si="17"/>
        <v>1416.16</v>
      </c>
      <c r="BT63" s="62">
        <f t="shared" si="17"/>
        <v>114.14999999999995</v>
      </c>
      <c r="BU63" s="100">
        <f t="shared" si="17"/>
        <v>1165.0199999999998</v>
      </c>
      <c r="BV63" s="62">
        <f t="shared" si="35"/>
        <v>-173.16</v>
      </c>
      <c r="BW63" s="63">
        <f t="shared" si="35"/>
        <v>0</v>
      </c>
      <c r="BX63" s="64">
        <f t="shared" si="35"/>
        <v>173.16</v>
      </c>
      <c r="BY63" s="62">
        <f t="shared" si="35"/>
        <v>0</v>
      </c>
      <c r="BZ63" s="62">
        <f t="shared" si="19"/>
        <v>18.02</v>
      </c>
      <c r="CA63" s="100">
        <f t="shared" si="19"/>
        <v>46.8</v>
      </c>
      <c r="CB63" s="62">
        <f>+BC63</f>
        <v>0</v>
      </c>
      <c r="CC63" s="62">
        <f>+BD63</f>
        <v>0</v>
      </c>
      <c r="CD63" s="100">
        <f>+BE63</f>
        <v>0</v>
      </c>
      <c r="CE63" s="62">
        <f t="shared" si="36"/>
        <v>1243</v>
      </c>
      <c r="CF63" s="63">
        <f t="shared" si="20"/>
        <v>132.16999999999996</v>
      </c>
      <c r="CG63" s="64">
        <f t="shared" si="20"/>
        <v>1384.9799999999998</v>
      </c>
      <c r="CH63" s="94">
        <f t="shared" si="56"/>
        <v>1512.36</v>
      </c>
      <c r="CI63" s="95">
        <f t="shared" si="57"/>
        <v>100.13444444444441</v>
      </c>
      <c r="CJ63" s="96">
        <f t="shared" si="58"/>
        <v>1032.4199999999998</v>
      </c>
      <c r="CK63" s="87">
        <v>94.43</v>
      </c>
      <c r="CL63" s="88"/>
      <c r="CM63" s="88"/>
      <c r="CN63" s="89"/>
      <c r="CO63" s="62">
        <f t="shared" si="37"/>
        <v>1244.7699999999998</v>
      </c>
      <c r="CP63" s="63">
        <f t="shared" si="24"/>
        <v>118.15444444444441</v>
      </c>
      <c r="CQ63" s="64">
        <f t="shared" si="38"/>
        <v>1252.3799999999999</v>
      </c>
    </row>
    <row r="64" spans="1:95" ht="14.5" x14ac:dyDescent="0.35">
      <c r="A64" s="61" t="s">
        <v>429</v>
      </c>
      <c r="B64" s="87">
        <v>6447.52</v>
      </c>
      <c r="C64" s="88">
        <v>37.479999999999997</v>
      </c>
      <c r="D64" s="89">
        <v>0</v>
      </c>
      <c r="E64" s="87">
        <v>6447.5199999999986</v>
      </c>
      <c r="F64" s="88">
        <v>37.480000000000004</v>
      </c>
      <c r="G64" s="89">
        <v>0</v>
      </c>
      <c r="H64" s="87">
        <v>18.196000000000002</v>
      </c>
      <c r="I64" s="88">
        <v>-30.26</v>
      </c>
      <c r="J64" s="89">
        <v>0</v>
      </c>
      <c r="K64" s="87">
        <v>1487.144</v>
      </c>
      <c r="L64" s="88">
        <v>0</v>
      </c>
      <c r="M64" s="89">
        <v>0</v>
      </c>
      <c r="N64" s="87">
        <v>0</v>
      </c>
      <c r="O64" s="88">
        <v>0</v>
      </c>
      <c r="P64" s="89">
        <v>0</v>
      </c>
      <c r="Q64" s="62">
        <f t="shared" si="25"/>
        <v>7952.8599999999988</v>
      </c>
      <c r="R64" s="63">
        <f t="shared" si="0"/>
        <v>7.2200000000000024</v>
      </c>
      <c r="S64" s="64">
        <f t="shared" si="0"/>
        <v>0</v>
      </c>
      <c r="T64" s="62">
        <f t="shared" si="26"/>
        <v>7952.8599999999988</v>
      </c>
      <c r="U64" s="63">
        <f t="shared" si="1"/>
        <v>7.2200000000000024</v>
      </c>
      <c r="V64" s="64">
        <f t="shared" si="1"/>
        <v>0</v>
      </c>
      <c r="W64" s="62">
        <f t="shared" si="27"/>
        <v>18.196000000000002</v>
      </c>
      <c r="X64" s="63">
        <f t="shared" si="2"/>
        <v>-30.26</v>
      </c>
      <c r="Y64" s="64">
        <f t="shared" si="2"/>
        <v>0</v>
      </c>
      <c r="Z64" s="113">
        <v>0</v>
      </c>
      <c r="AA64" s="113">
        <v>0</v>
      </c>
      <c r="AB64" s="113">
        <v>0</v>
      </c>
      <c r="AC64" s="108">
        <v>-27.039723999999996</v>
      </c>
      <c r="AD64" s="108">
        <v>-2.4547999999999997E-2</v>
      </c>
      <c r="AE64" s="108">
        <v>0</v>
      </c>
      <c r="AF64" s="62">
        <f t="shared" si="28"/>
        <v>7944.0162759999985</v>
      </c>
      <c r="AG64" s="63">
        <f t="shared" si="3"/>
        <v>-23.064547999999998</v>
      </c>
      <c r="AH64" s="64">
        <f t="shared" si="3"/>
        <v>0</v>
      </c>
      <c r="AI64" s="94">
        <f t="shared" si="29"/>
        <v>7442.0667586666668</v>
      </c>
      <c r="AJ64" s="95">
        <f t="shared" si="4"/>
        <v>17.298484000000002</v>
      </c>
      <c r="AK64" s="96">
        <f t="shared" si="4"/>
        <v>0</v>
      </c>
      <c r="AL64" s="97">
        <v>266.87</v>
      </c>
      <c r="AM64" s="98"/>
      <c r="AN64" s="98">
        <v>91.04</v>
      </c>
      <c r="AO64" s="99"/>
      <c r="AP64" s="62">
        <f t="shared" si="30"/>
        <v>7102.3527586666669</v>
      </c>
      <c r="AQ64" s="63">
        <f t="shared" si="30"/>
        <v>-12.961516</v>
      </c>
      <c r="AR64" s="63">
        <f t="shared" si="31"/>
        <v>0</v>
      </c>
      <c r="AS64" s="64">
        <f t="shared" si="5"/>
        <v>0</v>
      </c>
      <c r="AT64" s="62">
        <f t="shared" si="47"/>
        <v>7944.0162759999985</v>
      </c>
      <c r="AU64" s="62">
        <f t="shared" si="48"/>
        <v>-23.064547999999998</v>
      </c>
      <c r="AV64" s="100">
        <f t="shared" si="49"/>
        <v>0</v>
      </c>
      <c r="AW64" s="62">
        <f t="shared" si="50"/>
        <v>18.196000000000002</v>
      </c>
      <c r="AX64" s="63">
        <f t="shared" si="51"/>
        <v>-30.26</v>
      </c>
      <c r="AY64" s="64">
        <f t="shared" si="52"/>
        <v>0</v>
      </c>
      <c r="AZ64" s="62">
        <f t="shared" si="66"/>
        <v>0</v>
      </c>
      <c r="BA64" s="63">
        <f t="shared" si="66"/>
        <v>0</v>
      </c>
      <c r="BB64" s="64">
        <f t="shared" si="66"/>
        <v>0</v>
      </c>
      <c r="BC64" s="87">
        <v>-27.009655338399995</v>
      </c>
      <c r="BD64" s="88">
        <v>7.8419463199999997E-2</v>
      </c>
      <c r="BE64" s="89">
        <v>0</v>
      </c>
      <c r="BF64" s="62">
        <f t="shared" si="32"/>
        <v>7935.2026206615983</v>
      </c>
      <c r="BG64" s="63">
        <f t="shared" si="12"/>
        <v>-53.246128536800001</v>
      </c>
      <c r="BH64" s="64">
        <f t="shared" si="12"/>
        <v>0</v>
      </c>
      <c r="BI64" s="94">
        <f t="shared" si="53"/>
        <v>7937.9609655538652</v>
      </c>
      <c r="BJ64" s="95">
        <f t="shared" si="54"/>
        <v>-12.9435588456</v>
      </c>
      <c r="BK64" s="96">
        <f t="shared" si="55"/>
        <v>0</v>
      </c>
      <c r="BL64" s="87">
        <v>266.87</v>
      </c>
      <c r="BM64" s="88"/>
      <c r="BN64" s="88">
        <v>91.04</v>
      </c>
      <c r="BO64" s="89"/>
      <c r="BP64" s="62">
        <f t="shared" si="33"/>
        <v>7598.2469655538653</v>
      </c>
      <c r="BQ64" s="63">
        <f t="shared" si="16"/>
        <v>-43.2035588456</v>
      </c>
      <c r="BR64" s="64">
        <f t="shared" si="34"/>
        <v>0</v>
      </c>
      <c r="BS64" s="62">
        <f t="shared" si="17"/>
        <v>7935.2026206615983</v>
      </c>
      <c r="BT64" s="62">
        <f t="shared" si="17"/>
        <v>-53.246128536800001</v>
      </c>
      <c r="BU64" s="100">
        <f t="shared" si="17"/>
        <v>0</v>
      </c>
      <c r="BV64" s="62">
        <f t="shared" si="35"/>
        <v>18.196000000000002</v>
      </c>
      <c r="BW64" s="63">
        <f t="shared" si="35"/>
        <v>-30.26</v>
      </c>
      <c r="BX64" s="64">
        <f t="shared" si="35"/>
        <v>0</v>
      </c>
      <c r="BY64" s="87">
        <v>0</v>
      </c>
      <c r="BZ64" s="88">
        <v>0</v>
      </c>
      <c r="CA64" s="89">
        <v>0</v>
      </c>
      <c r="CB64" s="101">
        <f t="shared" ref="CB64:CD65" si="67">-(BS64*0.0034)</f>
        <v>-26.979688910249433</v>
      </c>
      <c r="CC64" s="101">
        <f t="shared" si="67"/>
        <v>0.18103683702512</v>
      </c>
      <c r="CD64" s="102">
        <f t="shared" si="67"/>
        <v>0</v>
      </c>
      <c r="CE64" s="62">
        <f t="shared" si="36"/>
        <v>7926.4189317513492</v>
      </c>
      <c r="CF64" s="63">
        <f t="shared" si="20"/>
        <v>-83.325091699774887</v>
      </c>
      <c r="CG64" s="64">
        <f t="shared" si="20"/>
        <v>0</v>
      </c>
      <c r="CH64" s="94">
        <f t="shared" si="56"/>
        <v>7774.8808853239607</v>
      </c>
      <c r="CI64" s="95">
        <f t="shared" si="57"/>
        <v>-36.410055515124967</v>
      </c>
      <c r="CJ64" s="96">
        <f t="shared" si="58"/>
        <v>0</v>
      </c>
      <c r="CK64" s="87">
        <v>266.87</v>
      </c>
      <c r="CL64" s="88"/>
      <c r="CM64" s="88">
        <v>91.04</v>
      </c>
      <c r="CN64" s="89"/>
      <c r="CO64" s="62">
        <f t="shared" si="37"/>
        <v>7435.1668853239607</v>
      </c>
      <c r="CP64" s="63">
        <f t="shared" si="24"/>
        <v>-66.670055515124972</v>
      </c>
      <c r="CQ64" s="64">
        <f t="shared" si="38"/>
        <v>0</v>
      </c>
    </row>
    <row r="65" spans="1:96" ht="14.5" x14ac:dyDescent="0.35">
      <c r="A65" s="61" t="s">
        <v>430</v>
      </c>
      <c r="B65" s="87">
        <v>13615.21</v>
      </c>
      <c r="C65" s="88">
        <v>2409.2800000000002</v>
      </c>
      <c r="D65" s="89">
        <v>567.70000000000005</v>
      </c>
      <c r="E65" s="87">
        <v>13615.209999999995</v>
      </c>
      <c r="F65" s="88">
        <v>2409.2800000000002</v>
      </c>
      <c r="G65" s="89">
        <v>567.70000000000005</v>
      </c>
      <c r="H65" s="87">
        <v>0</v>
      </c>
      <c r="I65" s="88">
        <v>0</v>
      </c>
      <c r="J65" s="89">
        <v>0</v>
      </c>
      <c r="K65" s="87">
        <v>2623.32</v>
      </c>
      <c r="L65" s="88">
        <v>164.52</v>
      </c>
      <c r="M65" s="89">
        <v>69.84</v>
      </c>
      <c r="N65" s="87">
        <v>0</v>
      </c>
      <c r="O65" s="88">
        <v>0</v>
      </c>
      <c r="P65" s="89">
        <v>0</v>
      </c>
      <c r="Q65" s="62">
        <f t="shared" si="25"/>
        <v>16238.529999999995</v>
      </c>
      <c r="R65" s="63">
        <f t="shared" si="0"/>
        <v>2573.8000000000002</v>
      </c>
      <c r="S65" s="64">
        <f t="shared" si="0"/>
        <v>637.54000000000008</v>
      </c>
      <c r="T65" s="62">
        <f t="shared" si="26"/>
        <v>16238.529999999995</v>
      </c>
      <c r="U65" s="63">
        <f t="shared" si="1"/>
        <v>2573.8000000000002</v>
      </c>
      <c r="V65" s="64">
        <f t="shared" si="1"/>
        <v>637.54000000000008</v>
      </c>
      <c r="W65" s="62">
        <f t="shared" si="27"/>
        <v>0</v>
      </c>
      <c r="X65" s="63">
        <f t="shared" si="2"/>
        <v>0</v>
      </c>
      <c r="Y65" s="64">
        <f t="shared" si="2"/>
        <v>0</v>
      </c>
      <c r="Z65" s="113">
        <v>0</v>
      </c>
      <c r="AA65" s="113">
        <v>0</v>
      </c>
      <c r="AB65" s="113">
        <v>0</v>
      </c>
      <c r="AC65" s="108">
        <v>-55.211002000000001</v>
      </c>
      <c r="AD65" s="108">
        <v>-8.7509200000000007</v>
      </c>
      <c r="AE65" s="108">
        <v>-2.1676359999999999</v>
      </c>
      <c r="AF65" s="62">
        <f t="shared" si="28"/>
        <v>16183.318997999995</v>
      </c>
      <c r="AG65" s="63">
        <f t="shared" si="3"/>
        <v>2565.0490800000002</v>
      </c>
      <c r="AH65" s="64">
        <f t="shared" si="3"/>
        <v>635.37236400000006</v>
      </c>
      <c r="AI65" s="94">
        <f t="shared" si="29"/>
        <v>15345.686332666664</v>
      </c>
      <c r="AJ65" s="95">
        <f t="shared" si="4"/>
        <v>2516.0430266666667</v>
      </c>
      <c r="AK65" s="96">
        <f t="shared" si="4"/>
        <v>613.5374546666668</v>
      </c>
      <c r="AL65" s="97">
        <v>418.19</v>
      </c>
      <c r="AM65" s="98"/>
      <c r="AN65" s="98">
        <v>4.75</v>
      </c>
      <c r="AO65" s="99"/>
      <c r="AP65" s="62">
        <f t="shared" si="30"/>
        <v>14922.746332666664</v>
      </c>
      <c r="AQ65" s="63">
        <f t="shared" si="30"/>
        <v>2516.0430266666667</v>
      </c>
      <c r="AR65" s="63">
        <f t="shared" si="31"/>
        <v>613.5374546666668</v>
      </c>
      <c r="AS65" s="64">
        <f t="shared" si="5"/>
        <v>635.37236400000006</v>
      </c>
      <c r="AT65" s="62">
        <f t="shared" si="47"/>
        <v>16183.318997999995</v>
      </c>
      <c r="AU65" s="62">
        <f t="shared" si="48"/>
        <v>2565.0490800000002</v>
      </c>
      <c r="AV65" s="100">
        <f t="shared" si="49"/>
        <v>635.37236400000006</v>
      </c>
      <c r="AW65" s="62">
        <f t="shared" si="50"/>
        <v>0</v>
      </c>
      <c r="AX65" s="63">
        <f t="shared" si="51"/>
        <v>0</v>
      </c>
      <c r="AY65" s="64">
        <f t="shared" si="52"/>
        <v>0</v>
      </c>
      <c r="AZ65" s="62">
        <f t="shared" si="66"/>
        <v>0</v>
      </c>
      <c r="BA65" s="63">
        <f t="shared" si="66"/>
        <v>0</v>
      </c>
      <c r="BB65" s="64">
        <f t="shared" si="66"/>
        <v>0</v>
      </c>
      <c r="BC65" s="87">
        <v>-55.023284593199996</v>
      </c>
      <c r="BD65" s="88">
        <v>-8.7211668719999995</v>
      </c>
      <c r="BE65" s="89">
        <v>-2.1602660375999996</v>
      </c>
      <c r="BF65" s="62">
        <f t="shared" si="32"/>
        <v>16128.295713406795</v>
      </c>
      <c r="BG65" s="63">
        <f t="shared" si="12"/>
        <v>2556.3279131280001</v>
      </c>
      <c r="BH65" s="64">
        <f t="shared" si="12"/>
        <v>633.21209796240009</v>
      </c>
      <c r="BI65" s="94">
        <f t="shared" si="53"/>
        <v>16183.381570468928</v>
      </c>
      <c r="BJ65" s="95">
        <f t="shared" si="54"/>
        <v>2565.0589977093332</v>
      </c>
      <c r="BK65" s="96">
        <f t="shared" si="55"/>
        <v>635.37482065413349</v>
      </c>
      <c r="BL65" s="87">
        <v>418.19</v>
      </c>
      <c r="BM65" s="88"/>
      <c r="BN65" s="88">
        <v>4.75</v>
      </c>
      <c r="BO65" s="89"/>
      <c r="BP65" s="62">
        <f t="shared" si="33"/>
        <v>15760.441570468927</v>
      </c>
      <c r="BQ65" s="63">
        <f t="shared" si="16"/>
        <v>2565.0589977093332</v>
      </c>
      <c r="BR65" s="64">
        <f t="shared" si="34"/>
        <v>635.37482065413349</v>
      </c>
      <c r="BS65" s="62">
        <f t="shared" si="17"/>
        <v>16128.295713406795</v>
      </c>
      <c r="BT65" s="62">
        <f t="shared" si="17"/>
        <v>2556.3279131280001</v>
      </c>
      <c r="BU65" s="100">
        <f t="shared" si="17"/>
        <v>633.21209796240009</v>
      </c>
      <c r="BV65" s="62">
        <f t="shared" si="35"/>
        <v>0</v>
      </c>
      <c r="BW65" s="63">
        <f t="shared" si="35"/>
        <v>0</v>
      </c>
      <c r="BX65" s="64">
        <f t="shared" si="35"/>
        <v>0</v>
      </c>
      <c r="BY65" s="87">
        <v>0</v>
      </c>
      <c r="BZ65" s="88">
        <v>0</v>
      </c>
      <c r="CA65" s="89">
        <v>0</v>
      </c>
      <c r="CB65" s="101">
        <f t="shared" si="67"/>
        <v>-54.836205425583096</v>
      </c>
      <c r="CC65" s="101">
        <f t="shared" si="67"/>
        <v>-8.6915149046352003</v>
      </c>
      <c r="CD65" s="102">
        <f t="shared" si="67"/>
        <v>-2.15292113307216</v>
      </c>
      <c r="CE65" s="62">
        <f t="shared" si="36"/>
        <v>16073.459507981212</v>
      </c>
      <c r="CF65" s="63">
        <f t="shared" si="20"/>
        <v>2547.6363982233647</v>
      </c>
      <c r="CG65" s="64">
        <f t="shared" si="20"/>
        <v>631.05917682932795</v>
      </c>
      <c r="CH65" s="94">
        <f t="shared" si="56"/>
        <v>15867.509137038935</v>
      </c>
      <c r="CI65" s="95">
        <f t="shared" si="57"/>
        <v>2542.9128075331214</v>
      </c>
      <c r="CJ65" s="96">
        <f t="shared" si="58"/>
        <v>626.65715071670945</v>
      </c>
      <c r="CK65" s="87">
        <v>418.19</v>
      </c>
      <c r="CL65" s="88"/>
      <c r="CM65" s="88">
        <v>4.75</v>
      </c>
      <c r="CN65" s="89"/>
      <c r="CO65" s="62">
        <f t="shared" si="37"/>
        <v>15444.569137038934</v>
      </c>
      <c r="CP65" s="63">
        <f t="shared" si="24"/>
        <v>2542.9128075331214</v>
      </c>
      <c r="CQ65" s="64">
        <f t="shared" si="38"/>
        <v>626.65715071670945</v>
      </c>
    </row>
    <row r="66" spans="1:96" ht="14.5" x14ac:dyDescent="0.35">
      <c r="A66" s="61" t="s">
        <v>431</v>
      </c>
      <c r="B66" s="87">
        <v>24706.37</v>
      </c>
      <c r="C66" s="88">
        <v>2243.09</v>
      </c>
      <c r="D66" s="89">
        <v>415.98</v>
      </c>
      <c r="E66" s="87">
        <v>24706.37</v>
      </c>
      <c r="F66" s="88">
        <v>2243.0898389999998</v>
      </c>
      <c r="G66" s="89">
        <v>415.98</v>
      </c>
      <c r="H66" s="87">
        <v>0</v>
      </c>
      <c r="I66" s="88">
        <v>0</v>
      </c>
      <c r="J66" s="89">
        <v>0</v>
      </c>
      <c r="K66" s="87">
        <v>0</v>
      </c>
      <c r="L66" s="88">
        <v>0</v>
      </c>
      <c r="M66" s="89">
        <v>0</v>
      </c>
      <c r="N66" s="87">
        <v>-578.22</v>
      </c>
      <c r="O66" s="88">
        <v>-344.37</v>
      </c>
      <c r="P66" s="89">
        <v>97.61</v>
      </c>
      <c r="Q66" s="62">
        <f t="shared" si="25"/>
        <v>24128.149999999998</v>
      </c>
      <c r="R66" s="63">
        <f t="shared" si="0"/>
        <v>1898.7198389999999</v>
      </c>
      <c r="S66" s="64">
        <f t="shared" si="0"/>
        <v>513.59</v>
      </c>
      <c r="T66" s="62">
        <f t="shared" si="26"/>
        <v>24128.149999999998</v>
      </c>
      <c r="U66" s="63">
        <f t="shared" si="1"/>
        <v>1898.7198389999999</v>
      </c>
      <c r="V66" s="64">
        <f t="shared" si="1"/>
        <v>513.59</v>
      </c>
      <c r="W66" s="62">
        <f t="shared" si="27"/>
        <v>0</v>
      </c>
      <c r="X66" s="63">
        <f t="shared" si="2"/>
        <v>0</v>
      </c>
      <c r="Y66" s="64">
        <f t="shared" si="2"/>
        <v>0</v>
      </c>
      <c r="Z66" s="113">
        <v>0</v>
      </c>
      <c r="AA66" s="113">
        <v>0</v>
      </c>
      <c r="AB66" s="113">
        <v>0</v>
      </c>
      <c r="AC66" s="104">
        <v>-578.22</v>
      </c>
      <c r="AD66" s="104">
        <v>-344.37</v>
      </c>
      <c r="AE66" s="104">
        <v>97.61</v>
      </c>
      <c r="AF66" s="62">
        <f t="shared" si="28"/>
        <v>23549.929999999997</v>
      </c>
      <c r="AG66" s="63">
        <f t="shared" si="3"/>
        <v>1554.349839</v>
      </c>
      <c r="AH66" s="64">
        <f t="shared" si="3"/>
        <v>611.20000000000005</v>
      </c>
      <c r="AI66" s="94">
        <f t="shared" si="29"/>
        <v>24128.149999999998</v>
      </c>
      <c r="AJ66" s="95">
        <f t="shared" si="4"/>
        <v>1898.7198926666667</v>
      </c>
      <c r="AK66" s="96">
        <f t="shared" si="4"/>
        <v>513.59</v>
      </c>
      <c r="AL66" s="97">
        <v>593.07000000000005</v>
      </c>
      <c r="AM66" s="98"/>
      <c r="AN66" s="98"/>
      <c r="AO66" s="99"/>
      <c r="AP66" s="62">
        <f t="shared" si="30"/>
        <v>23535.079999999998</v>
      </c>
      <c r="AQ66" s="63">
        <f t="shared" si="30"/>
        <v>1898.7198926666667</v>
      </c>
      <c r="AR66" s="63">
        <f t="shared" si="31"/>
        <v>513.59</v>
      </c>
      <c r="AS66" s="64">
        <f t="shared" si="5"/>
        <v>611.20000000000005</v>
      </c>
      <c r="AT66" s="62">
        <f t="shared" si="47"/>
        <v>23549.929999999997</v>
      </c>
      <c r="AU66" s="62">
        <f t="shared" si="48"/>
        <v>1554.349839</v>
      </c>
      <c r="AV66" s="100">
        <f t="shared" si="49"/>
        <v>611.20000000000005</v>
      </c>
      <c r="AW66" s="62">
        <f t="shared" si="50"/>
        <v>0</v>
      </c>
      <c r="AX66" s="63">
        <f t="shared" si="51"/>
        <v>0</v>
      </c>
      <c r="AY66" s="64">
        <f t="shared" si="52"/>
        <v>0</v>
      </c>
      <c r="AZ66" s="87">
        <v>0</v>
      </c>
      <c r="BA66" s="88">
        <v>0</v>
      </c>
      <c r="BB66" s="89">
        <v>0</v>
      </c>
      <c r="BC66" s="87">
        <v>-578.22</v>
      </c>
      <c r="BD66" s="88">
        <v>-344.37</v>
      </c>
      <c r="BE66" s="89">
        <v>97.61</v>
      </c>
      <c r="BF66" s="62">
        <f t="shared" si="32"/>
        <v>22971.709999999995</v>
      </c>
      <c r="BG66" s="63">
        <f t="shared" si="12"/>
        <v>1209.9798390000001</v>
      </c>
      <c r="BH66" s="64">
        <f t="shared" si="12"/>
        <v>708.81000000000006</v>
      </c>
      <c r="BI66" s="94">
        <f t="shared" si="53"/>
        <v>23549.929999999997</v>
      </c>
      <c r="BJ66" s="95">
        <f t="shared" si="54"/>
        <v>1554.3498389999997</v>
      </c>
      <c r="BK66" s="96">
        <f t="shared" si="55"/>
        <v>611.19999999999993</v>
      </c>
      <c r="BL66" s="87">
        <v>593.07000000000005</v>
      </c>
      <c r="BM66" s="88"/>
      <c r="BN66" s="88"/>
      <c r="BO66" s="89"/>
      <c r="BP66" s="62">
        <f t="shared" si="33"/>
        <v>22956.859999999997</v>
      </c>
      <c r="BQ66" s="63">
        <f t="shared" si="16"/>
        <v>1554.3498389999997</v>
      </c>
      <c r="BR66" s="64">
        <f t="shared" si="34"/>
        <v>611.19999999999993</v>
      </c>
      <c r="BS66" s="62">
        <f t="shared" si="17"/>
        <v>22971.709999999995</v>
      </c>
      <c r="BT66" s="62">
        <f t="shared" si="17"/>
        <v>1209.9798390000001</v>
      </c>
      <c r="BU66" s="100">
        <f t="shared" si="17"/>
        <v>708.81000000000006</v>
      </c>
      <c r="BV66" s="62">
        <f t="shared" si="35"/>
        <v>0</v>
      </c>
      <c r="BW66" s="63">
        <f t="shared" si="35"/>
        <v>0</v>
      </c>
      <c r="BX66" s="64">
        <f t="shared" si="35"/>
        <v>0</v>
      </c>
      <c r="BY66" s="62">
        <f t="shared" si="35"/>
        <v>0</v>
      </c>
      <c r="BZ66" s="62">
        <f t="shared" si="19"/>
        <v>0</v>
      </c>
      <c r="CA66" s="100">
        <f t="shared" si="19"/>
        <v>0</v>
      </c>
      <c r="CB66" s="62">
        <f t="shared" si="19"/>
        <v>-578.22</v>
      </c>
      <c r="CC66" s="62">
        <f t="shared" si="19"/>
        <v>-344.37</v>
      </c>
      <c r="CD66" s="100">
        <f t="shared" si="19"/>
        <v>97.61</v>
      </c>
      <c r="CE66" s="62">
        <f t="shared" si="36"/>
        <v>22393.489999999994</v>
      </c>
      <c r="CF66" s="63">
        <f t="shared" si="20"/>
        <v>865.60983900000008</v>
      </c>
      <c r="CG66" s="64">
        <f t="shared" si="20"/>
        <v>806.42000000000007</v>
      </c>
      <c r="CH66" s="94">
        <f t="shared" si="56"/>
        <v>23357.19</v>
      </c>
      <c r="CI66" s="95">
        <f t="shared" si="57"/>
        <v>1439.5598568888888</v>
      </c>
      <c r="CJ66" s="96">
        <f t="shared" si="58"/>
        <v>643.73666666666668</v>
      </c>
      <c r="CK66" s="87">
        <v>593.07000000000005</v>
      </c>
      <c r="CL66" s="88"/>
      <c r="CM66" s="88"/>
      <c r="CN66" s="89"/>
      <c r="CO66" s="62">
        <f t="shared" si="37"/>
        <v>22764.12</v>
      </c>
      <c r="CP66" s="63">
        <f t="shared" si="24"/>
        <v>1439.5598568888888</v>
      </c>
      <c r="CQ66" s="64">
        <f t="shared" si="38"/>
        <v>643.73666666666668</v>
      </c>
    </row>
    <row r="67" spans="1:96" ht="14.5" x14ac:dyDescent="0.35">
      <c r="A67" s="61" t="s">
        <v>432</v>
      </c>
      <c r="B67" s="87">
        <v>15625.79</v>
      </c>
      <c r="C67" s="88">
        <v>212.31</v>
      </c>
      <c r="D67" s="89">
        <v>38.97</v>
      </c>
      <c r="E67" s="87">
        <v>15625.789987</v>
      </c>
      <c r="F67" s="88">
        <v>212.31</v>
      </c>
      <c r="G67" s="89">
        <v>38.970000000000006</v>
      </c>
      <c r="H67" s="87">
        <v>0</v>
      </c>
      <c r="I67" s="88">
        <v>0</v>
      </c>
      <c r="J67" s="89">
        <v>0</v>
      </c>
      <c r="K67" s="87">
        <v>0</v>
      </c>
      <c r="L67" s="88">
        <v>0</v>
      </c>
      <c r="M67" s="89">
        <v>0</v>
      </c>
      <c r="N67" s="87">
        <v>-257.64</v>
      </c>
      <c r="O67" s="88">
        <v>-19.71</v>
      </c>
      <c r="P67" s="89">
        <v>-5.59</v>
      </c>
      <c r="Q67" s="62">
        <f t="shared" si="25"/>
        <v>15368.149987000001</v>
      </c>
      <c r="R67" s="63">
        <f t="shared" si="0"/>
        <v>192.6</v>
      </c>
      <c r="S67" s="64">
        <f t="shared" si="0"/>
        <v>33.38000000000001</v>
      </c>
      <c r="T67" s="62">
        <f t="shared" si="26"/>
        <v>15368.149987000001</v>
      </c>
      <c r="U67" s="63">
        <f t="shared" si="1"/>
        <v>192.6</v>
      </c>
      <c r="V67" s="64">
        <f t="shared" si="1"/>
        <v>33.38000000000001</v>
      </c>
      <c r="W67" s="62">
        <f t="shared" si="27"/>
        <v>0</v>
      </c>
      <c r="X67" s="63">
        <f t="shared" si="2"/>
        <v>0</v>
      </c>
      <c r="Y67" s="64">
        <f t="shared" si="2"/>
        <v>0</v>
      </c>
      <c r="Z67" s="113">
        <v>0</v>
      </c>
      <c r="AA67" s="113">
        <v>0</v>
      </c>
      <c r="AB67" s="113">
        <v>0</v>
      </c>
      <c r="AC67" s="104">
        <v>-257.64</v>
      </c>
      <c r="AD67" s="104">
        <v>-19.71</v>
      </c>
      <c r="AE67" s="104">
        <v>-5.59</v>
      </c>
      <c r="AF67" s="62">
        <f t="shared" si="28"/>
        <v>15110.509987000001</v>
      </c>
      <c r="AG67" s="63">
        <f t="shared" si="3"/>
        <v>172.89</v>
      </c>
      <c r="AH67" s="64">
        <f t="shared" si="3"/>
        <v>27.79000000000001</v>
      </c>
      <c r="AI67" s="94">
        <f t="shared" si="29"/>
        <v>15368.149991333334</v>
      </c>
      <c r="AJ67" s="95">
        <f t="shared" si="4"/>
        <v>192.6</v>
      </c>
      <c r="AK67" s="96">
        <f t="shared" si="4"/>
        <v>33.380000000000003</v>
      </c>
      <c r="AL67" s="97">
        <v>154.74</v>
      </c>
      <c r="AM67" s="98"/>
      <c r="AN67" s="98">
        <v>28.75</v>
      </c>
      <c r="AO67" s="99">
        <v>1.59</v>
      </c>
      <c r="AP67" s="62">
        <f t="shared" si="30"/>
        <v>15184.659991333334</v>
      </c>
      <c r="AQ67" s="63">
        <f t="shared" si="30"/>
        <v>191.01</v>
      </c>
      <c r="AR67" s="63">
        <f t="shared" si="31"/>
        <v>33.380000000000003</v>
      </c>
      <c r="AS67" s="64">
        <f t="shared" si="5"/>
        <v>27.79000000000001</v>
      </c>
      <c r="AT67" s="62">
        <f t="shared" si="47"/>
        <v>15110.509987000001</v>
      </c>
      <c r="AU67" s="62">
        <f t="shared" si="48"/>
        <v>172.89</v>
      </c>
      <c r="AV67" s="100">
        <f t="shared" si="49"/>
        <v>27.79000000000001</v>
      </c>
      <c r="AW67" s="62">
        <f t="shared" si="50"/>
        <v>0</v>
      </c>
      <c r="AX67" s="63">
        <f t="shared" si="51"/>
        <v>0</v>
      </c>
      <c r="AY67" s="64">
        <f t="shared" si="52"/>
        <v>0</v>
      </c>
      <c r="AZ67" s="87">
        <v>0</v>
      </c>
      <c r="BA67" s="88">
        <v>0</v>
      </c>
      <c r="BB67" s="89">
        <v>0</v>
      </c>
      <c r="BC67" s="87">
        <v>-257.64</v>
      </c>
      <c r="BD67" s="88">
        <v>-19.71</v>
      </c>
      <c r="BE67" s="89">
        <v>-5.59</v>
      </c>
      <c r="BF67" s="62">
        <f t="shared" si="32"/>
        <v>14852.869987000002</v>
      </c>
      <c r="BG67" s="63">
        <f t="shared" si="12"/>
        <v>153.17999999999998</v>
      </c>
      <c r="BH67" s="64">
        <f t="shared" si="12"/>
        <v>22.20000000000001</v>
      </c>
      <c r="BI67" s="94">
        <f t="shared" si="53"/>
        <v>15110.509987000003</v>
      </c>
      <c r="BJ67" s="95">
        <f t="shared" si="54"/>
        <v>172.89</v>
      </c>
      <c r="BK67" s="96">
        <f t="shared" si="55"/>
        <v>27.79000000000001</v>
      </c>
      <c r="BL67" s="87">
        <v>154.74</v>
      </c>
      <c r="BM67" s="88"/>
      <c r="BN67" s="88">
        <v>28.75</v>
      </c>
      <c r="BO67" s="89">
        <v>1.59</v>
      </c>
      <c r="BP67" s="62">
        <f t="shared" si="33"/>
        <v>14927.019987000003</v>
      </c>
      <c r="BQ67" s="63">
        <f t="shared" si="16"/>
        <v>171.29999999999998</v>
      </c>
      <c r="BR67" s="64">
        <f t="shared" si="34"/>
        <v>27.79000000000001</v>
      </c>
      <c r="BS67" s="62">
        <f t="shared" si="17"/>
        <v>14852.869987000002</v>
      </c>
      <c r="BT67" s="62">
        <f t="shared" si="17"/>
        <v>153.17999999999998</v>
      </c>
      <c r="BU67" s="100">
        <f t="shared" si="17"/>
        <v>22.20000000000001</v>
      </c>
      <c r="BV67" s="62">
        <f t="shared" si="35"/>
        <v>0</v>
      </c>
      <c r="BW67" s="63">
        <f t="shared" si="35"/>
        <v>0</v>
      </c>
      <c r="BX67" s="64">
        <f t="shared" si="35"/>
        <v>0</v>
      </c>
      <c r="BY67" s="62">
        <f t="shared" si="35"/>
        <v>0</v>
      </c>
      <c r="BZ67" s="62">
        <f t="shared" si="19"/>
        <v>0</v>
      </c>
      <c r="CA67" s="100">
        <f t="shared" si="19"/>
        <v>0</v>
      </c>
      <c r="CB67" s="62">
        <f t="shared" si="19"/>
        <v>-257.64</v>
      </c>
      <c r="CC67" s="62">
        <f t="shared" si="19"/>
        <v>-19.71</v>
      </c>
      <c r="CD67" s="100">
        <f t="shared" si="19"/>
        <v>-5.59</v>
      </c>
      <c r="CE67" s="62">
        <f t="shared" si="36"/>
        <v>14595.229987000002</v>
      </c>
      <c r="CF67" s="63">
        <f t="shared" si="20"/>
        <v>133.46999999999997</v>
      </c>
      <c r="CG67" s="64">
        <f t="shared" si="20"/>
        <v>16.61000000000001</v>
      </c>
      <c r="CH67" s="94">
        <f t="shared" si="56"/>
        <v>15024.629988444445</v>
      </c>
      <c r="CI67" s="95">
        <f t="shared" si="57"/>
        <v>166.32</v>
      </c>
      <c r="CJ67" s="96">
        <f t="shared" si="58"/>
        <v>25.926666666666677</v>
      </c>
      <c r="CK67" s="87">
        <v>154.74</v>
      </c>
      <c r="CL67" s="88"/>
      <c r="CM67" s="88">
        <v>28.75</v>
      </c>
      <c r="CN67" s="89">
        <v>1.59</v>
      </c>
      <c r="CO67" s="62">
        <f t="shared" si="37"/>
        <v>14841.139988444445</v>
      </c>
      <c r="CP67" s="63">
        <f t="shared" si="24"/>
        <v>164.73</v>
      </c>
      <c r="CQ67" s="64">
        <f t="shared" si="38"/>
        <v>25.926666666666677</v>
      </c>
    </row>
    <row r="68" spans="1:96" ht="14.5" x14ac:dyDescent="0.35">
      <c r="A68" s="61" t="s">
        <v>433</v>
      </c>
      <c r="B68" s="87">
        <v>26963.42</v>
      </c>
      <c r="C68" s="88">
        <v>231</v>
      </c>
      <c r="D68" s="89">
        <v>129.6</v>
      </c>
      <c r="E68" s="87">
        <v>26963.420000000006</v>
      </c>
      <c r="F68" s="88">
        <v>231</v>
      </c>
      <c r="G68" s="89">
        <v>129.60000000000002</v>
      </c>
      <c r="H68" s="87">
        <v>439.45699999999999</v>
      </c>
      <c r="I68" s="88">
        <v>-72.34</v>
      </c>
      <c r="J68" s="89">
        <v>8.51</v>
      </c>
      <c r="K68" s="87">
        <v>1825.8430000000001</v>
      </c>
      <c r="L68" s="88">
        <v>0</v>
      </c>
      <c r="M68" s="89">
        <v>0</v>
      </c>
      <c r="N68" s="87">
        <v>0</v>
      </c>
      <c r="O68" s="88">
        <v>0</v>
      </c>
      <c r="P68" s="89">
        <v>0</v>
      </c>
      <c r="Q68" s="62">
        <f t="shared" si="25"/>
        <v>29228.720000000005</v>
      </c>
      <c r="R68" s="63">
        <f t="shared" si="25"/>
        <v>158.66</v>
      </c>
      <c r="S68" s="64">
        <f t="shared" si="25"/>
        <v>138.11000000000001</v>
      </c>
      <c r="T68" s="62">
        <f t="shared" si="26"/>
        <v>29228.720000000005</v>
      </c>
      <c r="U68" s="63">
        <f t="shared" si="26"/>
        <v>158.66</v>
      </c>
      <c r="V68" s="64">
        <f t="shared" si="26"/>
        <v>138.11000000000001</v>
      </c>
      <c r="W68" s="62">
        <f t="shared" si="27"/>
        <v>439.45699999999999</v>
      </c>
      <c r="X68" s="63">
        <f t="shared" si="27"/>
        <v>-72.34</v>
      </c>
      <c r="Y68" s="64">
        <f t="shared" si="27"/>
        <v>8.51</v>
      </c>
      <c r="Z68" s="113">
        <v>0</v>
      </c>
      <c r="AA68" s="113">
        <v>0</v>
      </c>
      <c r="AB68" s="113">
        <v>0</v>
      </c>
      <c r="AC68" s="108">
        <v>-99.377647999999994</v>
      </c>
      <c r="AD68" s="108">
        <v>-0.53944399999999992</v>
      </c>
      <c r="AE68" s="108">
        <v>-0.46957400000000005</v>
      </c>
      <c r="AF68" s="62">
        <f t="shared" si="28"/>
        <v>29568.799352000002</v>
      </c>
      <c r="AG68" s="63">
        <f t="shared" si="28"/>
        <v>85.78055599999999</v>
      </c>
      <c r="AH68" s="64">
        <f t="shared" si="28"/>
        <v>146.15042600000001</v>
      </c>
      <c r="AI68" s="94">
        <f t="shared" si="29"/>
        <v>28440.494117333335</v>
      </c>
      <c r="AJ68" s="95">
        <f t="shared" si="29"/>
        <v>182.59351866666665</v>
      </c>
      <c r="AK68" s="96">
        <f t="shared" si="29"/>
        <v>135.11680866666669</v>
      </c>
      <c r="AL68" s="97">
        <v>951.28</v>
      </c>
      <c r="AM68" s="98"/>
      <c r="AN68" s="98"/>
      <c r="AO68" s="99"/>
      <c r="AP68" s="62">
        <f t="shared" si="30"/>
        <v>27928.671117333335</v>
      </c>
      <c r="AQ68" s="63">
        <f t="shared" si="30"/>
        <v>110.25351866666665</v>
      </c>
      <c r="AR68" s="63">
        <f t="shared" si="31"/>
        <v>143.62680866666668</v>
      </c>
      <c r="AS68" s="64">
        <f t="shared" ref="AS68:AS75" si="68">+V68+Y68+AB68+AE68</f>
        <v>146.15042600000001</v>
      </c>
      <c r="AT68" s="62">
        <f t="shared" ref="AT68:AT75" si="69">+AF68</f>
        <v>29568.799352000002</v>
      </c>
      <c r="AU68" s="62">
        <f t="shared" ref="AU68:AU75" si="70">+AG68</f>
        <v>85.78055599999999</v>
      </c>
      <c r="AV68" s="100">
        <f t="shared" ref="AV68:AV75" si="71">+AH68</f>
        <v>146.15042600000001</v>
      </c>
      <c r="AW68" s="62">
        <f t="shared" ref="AW68:AW75" si="72">+W68</f>
        <v>439.45699999999999</v>
      </c>
      <c r="AX68" s="63">
        <f t="shared" ref="AX68:AX75" si="73">+X68</f>
        <v>-72.34</v>
      </c>
      <c r="AY68" s="64">
        <f t="shared" ref="AY68:AY75" si="74">+Y68</f>
        <v>8.51</v>
      </c>
      <c r="AZ68" s="62">
        <f t="shared" ref="AZ68:BB75" si="75">+Z68</f>
        <v>0</v>
      </c>
      <c r="BA68" s="63">
        <f t="shared" si="75"/>
        <v>0</v>
      </c>
      <c r="BB68" s="64">
        <f t="shared" si="75"/>
        <v>0</v>
      </c>
      <c r="BC68" s="87">
        <v>-100.5339177968</v>
      </c>
      <c r="BD68" s="88">
        <v>-0.29165389039999995</v>
      </c>
      <c r="BE68" s="89">
        <v>-0.49691144840000001</v>
      </c>
      <c r="BF68" s="62">
        <f t="shared" si="32"/>
        <v>29907.722434203199</v>
      </c>
      <c r="BG68" s="63">
        <f t="shared" si="32"/>
        <v>13.148902109599987</v>
      </c>
      <c r="BH68" s="64">
        <f t="shared" si="32"/>
        <v>154.1635145516</v>
      </c>
      <c r="BI68" s="94">
        <f t="shared" ref="BI68:BI75" si="76">(Q68+AF68+BF68-AW68-AZ68)/3</f>
        <v>29421.928262067737</v>
      </c>
      <c r="BJ68" s="95">
        <f t="shared" ref="BJ68:BJ75" si="77">(R68+AG68+BG68-AX68-BA68)/3</f>
        <v>109.97648603653333</v>
      </c>
      <c r="BK68" s="96">
        <f t="shared" ref="BK68:BK75" si="78">(S68+AH68+BH68-AY68-BB68)/3</f>
        <v>143.30464685053335</v>
      </c>
      <c r="BL68" s="87">
        <v>951.28</v>
      </c>
      <c r="BM68" s="88"/>
      <c r="BN68" s="88"/>
      <c r="BO68" s="89"/>
      <c r="BP68" s="62">
        <f t="shared" si="33"/>
        <v>28910.105262067736</v>
      </c>
      <c r="BQ68" s="63">
        <f t="shared" si="33"/>
        <v>37.636486036533327</v>
      </c>
      <c r="BR68" s="64">
        <f t="shared" si="34"/>
        <v>151.81464685053334</v>
      </c>
      <c r="BS68" s="62">
        <f t="shared" ref="BS68:BU75" si="79">+BF68</f>
        <v>29907.722434203199</v>
      </c>
      <c r="BT68" s="62">
        <f t="shared" si="79"/>
        <v>13.148902109599987</v>
      </c>
      <c r="BU68" s="100">
        <f t="shared" si="79"/>
        <v>154.1635145516</v>
      </c>
      <c r="BV68" s="62">
        <f t="shared" si="35"/>
        <v>439.45699999999999</v>
      </c>
      <c r="BW68" s="63">
        <f t="shared" si="35"/>
        <v>-72.34</v>
      </c>
      <c r="BX68" s="64">
        <f t="shared" si="35"/>
        <v>8.51</v>
      </c>
      <c r="BY68" s="87">
        <v>0</v>
      </c>
      <c r="BZ68" s="88">
        <v>0</v>
      </c>
      <c r="CA68" s="89">
        <v>0</v>
      </c>
      <c r="CB68" s="101">
        <f t="shared" ref="CB68:CD69" si="80">-(BS68*0.0034)</f>
        <v>-101.68625627629088</v>
      </c>
      <c r="CC68" s="101">
        <f t="shared" si="80"/>
        <v>-4.4706267172639952E-2</v>
      </c>
      <c r="CD68" s="102">
        <f t="shared" si="80"/>
        <v>-0.52415594947543998</v>
      </c>
      <c r="CE68" s="62">
        <f t="shared" si="36"/>
        <v>30245.493177926906</v>
      </c>
      <c r="CF68" s="63">
        <f t="shared" si="36"/>
        <v>-59.235804157572659</v>
      </c>
      <c r="CG68" s="64">
        <f t="shared" si="36"/>
        <v>162.14935860212455</v>
      </c>
      <c r="CH68" s="94">
        <f t="shared" ref="CH68:CH75" si="81">(+AI68+W68+BI68+AW68+AZ68+CE68-BV68-BY68)/3</f>
        <v>29515.79085244266</v>
      </c>
      <c r="CI68" s="95">
        <f t="shared" ref="CI68:CI75" si="82">(+AJ68+X68+BJ68+AX68+BA68+CF68-BW68-BZ68)/3</f>
        <v>53.664733515209115</v>
      </c>
      <c r="CJ68" s="96">
        <f t="shared" ref="CJ68:CJ75" si="83">(+AK68+Y68+BK68+AY68+BB68+CG68-BX68-CA68)/3</f>
        <v>149.6936047064415</v>
      </c>
      <c r="CK68" s="87">
        <v>951.28</v>
      </c>
      <c r="CL68" s="88"/>
      <c r="CM68" s="88"/>
      <c r="CN68" s="89"/>
      <c r="CO68" s="62">
        <f t="shared" si="37"/>
        <v>29003.96785244266</v>
      </c>
      <c r="CP68" s="63">
        <f t="shared" si="37"/>
        <v>-18.675266484790889</v>
      </c>
      <c r="CQ68" s="64">
        <f t="shared" si="38"/>
        <v>158.2036047064415</v>
      </c>
    </row>
    <row r="69" spans="1:96" ht="14.5" x14ac:dyDescent="0.35">
      <c r="A69" s="61" t="s">
        <v>434</v>
      </c>
      <c r="B69" s="87">
        <v>25334.639999999999</v>
      </c>
      <c r="C69" s="88">
        <v>72.23</v>
      </c>
      <c r="D69" s="89">
        <v>0</v>
      </c>
      <c r="E69" s="87">
        <v>25334.640000000007</v>
      </c>
      <c r="F69" s="88">
        <v>72.22999999999999</v>
      </c>
      <c r="G69" s="89">
        <v>0</v>
      </c>
      <c r="H69" s="87">
        <v>9.327</v>
      </c>
      <c r="I69" s="88">
        <v>-15.51</v>
      </c>
      <c r="J69" s="89">
        <v>0</v>
      </c>
      <c r="K69" s="87">
        <v>740.37300000000005</v>
      </c>
      <c r="L69" s="88">
        <v>0</v>
      </c>
      <c r="M69" s="89">
        <v>0</v>
      </c>
      <c r="N69" s="87">
        <v>0</v>
      </c>
      <c r="O69" s="88">
        <v>0</v>
      </c>
      <c r="P69" s="89">
        <v>0</v>
      </c>
      <c r="Q69" s="62">
        <f t="shared" ref="Q69:S75" si="84">+E69+H69+K69+N69</f>
        <v>26084.340000000007</v>
      </c>
      <c r="R69" s="63">
        <f t="shared" si="84"/>
        <v>56.719999999999992</v>
      </c>
      <c r="S69" s="64">
        <f t="shared" si="84"/>
        <v>0</v>
      </c>
      <c r="T69" s="62">
        <f t="shared" ref="T69:V75" si="85">+Q69</f>
        <v>26084.340000000007</v>
      </c>
      <c r="U69" s="63">
        <f t="shared" si="85"/>
        <v>56.719999999999992</v>
      </c>
      <c r="V69" s="64">
        <f t="shared" si="85"/>
        <v>0</v>
      </c>
      <c r="W69" s="62">
        <f t="shared" ref="W69:Y75" si="86">+H69</f>
        <v>9.327</v>
      </c>
      <c r="X69" s="63">
        <f t="shared" si="86"/>
        <v>-15.51</v>
      </c>
      <c r="Y69" s="64">
        <f t="shared" si="86"/>
        <v>0</v>
      </c>
      <c r="Z69" s="113">
        <v>0</v>
      </c>
      <c r="AA69" s="113">
        <v>0</v>
      </c>
      <c r="AB69" s="113">
        <v>0</v>
      </c>
      <c r="AC69" s="108">
        <v>-88.686756000000003</v>
      </c>
      <c r="AD69" s="108">
        <v>-0.19284799999999999</v>
      </c>
      <c r="AE69" s="108">
        <v>0</v>
      </c>
      <c r="AF69" s="62">
        <f t="shared" ref="AF69:AH75" si="87">+T69+W69+Z69+AC69</f>
        <v>26004.980244000009</v>
      </c>
      <c r="AG69" s="63">
        <f t="shared" si="87"/>
        <v>41.017151999999996</v>
      </c>
      <c r="AH69" s="64">
        <f t="shared" si="87"/>
        <v>0</v>
      </c>
      <c r="AI69" s="94">
        <f t="shared" ref="AI69:AK75" si="88">(B69+Q69+AF69-W69)/3</f>
        <v>25804.877748000003</v>
      </c>
      <c r="AJ69" s="95">
        <f t="shared" si="88"/>
        <v>61.82571733333333</v>
      </c>
      <c r="AK69" s="96">
        <f t="shared" si="88"/>
        <v>0</v>
      </c>
      <c r="AL69" s="97">
        <v>592.75</v>
      </c>
      <c r="AM69" s="98"/>
      <c r="AN69" s="98"/>
      <c r="AO69" s="99"/>
      <c r="AP69" s="62">
        <f t="shared" ref="AP69:AQ75" si="89">+AI69+W69-AL69-AN69</f>
        <v>25221.454748000004</v>
      </c>
      <c r="AQ69" s="63">
        <f t="shared" si="89"/>
        <v>46.315717333333332</v>
      </c>
      <c r="AR69" s="63">
        <f t="shared" ref="AR69:AR75" si="90">AK69+Y69</f>
        <v>0</v>
      </c>
      <c r="AS69" s="64">
        <f t="shared" si="68"/>
        <v>0</v>
      </c>
      <c r="AT69" s="62">
        <f t="shared" si="69"/>
        <v>26004.980244000009</v>
      </c>
      <c r="AU69" s="62">
        <f t="shared" si="70"/>
        <v>41.017151999999996</v>
      </c>
      <c r="AV69" s="100">
        <f t="shared" si="71"/>
        <v>0</v>
      </c>
      <c r="AW69" s="62">
        <f t="shared" si="72"/>
        <v>9.327</v>
      </c>
      <c r="AX69" s="63">
        <f t="shared" si="73"/>
        <v>-15.51</v>
      </c>
      <c r="AY69" s="64">
        <f t="shared" si="74"/>
        <v>0</v>
      </c>
      <c r="AZ69" s="62">
        <f t="shared" si="75"/>
        <v>0</v>
      </c>
      <c r="BA69" s="63">
        <f t="shared" si="75"/>
        <v>0</v>
      </c>
      <c r="BB69" s="64">
        <f t="shared" si="75"/>
        <v>0</v>
      </c>
      <c r="BC69" s="87">
        <v>-88.416932829599986</v>
      </c>
      <c r="BD69" s="88">
        <v>-0.13945831679999998</v>
      </c>
      <c r="BE69" s="89">
        <v>0</v>
      </c>
      <c r="BF69" s="62">
        <f t="shared" ref="BF69:BH75" si="91">+AT69+AW69+AZ69+BC69</f>
        <v>25925.890311170409</v>
      </c>
      <c r="BG69" s="63">
        <f t="shared" si="91"/>
        <v>25.367693683199999</v>
      </c>
      <c r="BH69" s="64">
        <f t="shared" si="91"/>
        <v>0</v>
      </c>
      <c r="BI69" s="94">
        <f t="shared" si="76"/>
        <v>26001.961185056807</v>
      </c>
      <c r="BJ69" s="95">
        <f t="shared" si="77"/>
        <v>46.204948561066658</v>
      </c>
      <c r="BK69" s="96">
        <f t="shared" si="78"/>
        <v>0</v>
      </c>
      <c r="BL69" s="87">
        <v>592.75</v>
      </c>
      <c r="BM69" s="88"/>
      <c r="BN69" s="88"/>
      <c r="BO69" s="89"/>
      <c r="BP69" s="62">
        <f t="shared" ref="BP69:BQ75" si="92">+BI69+AW69+AZ69-BL69-BN69</f>
        <v>25418.538185056808</v>
      </c>
      <c r="BQ69" s="63">
        <f t="shared" si="92"/>
        <v>30.69494856106666</v>
      </c>
      <c r="BR69" s="64">
        <f t="shared" ref="BR69:BR75" si="93">+BK69+AY69+BB69</f>
        <v>0</v>
      </c>
      <c r="BS69" s="62">
        <f t="shared" si="79"/>
        <v>25925.890311170409</v>
      </c>
      <c r="BT69" s="62">
        <f t="shared" si="79"/>
        <v>25.367693683199999</v>
      </c>
      <c r="BU69" s="100">
        <f t="shared" si="79"/>
        <v>0</v>
      </c>
      <c r="BV69" s="62">
        <f t="shared" ref="BV69:CD75" si="94">+AW69</f>
        <v>9.327</v>
      </c>
      <c r="BW69" s="63">
        <f t="shared" si="94"/>
        <v>-15.51</v>
      </c>
      <c r="BX69" s="64">
        <f t="shared" si="94"/>
        <v>0</v>
      </c>
      <c r="BY69" s="87">
        <v>0</v>
      </c>
      <c r="BZ69" s="88">
        <v>0</v>
      </c>
      <c r="CA69" s="89">
        <v>0</v>
      </c>
      <c r="CB69" s="101">
        <f t="shared" si="80"/>
        <v>-88.148027057979391</v>
      </c>
      <c r="CC69" s="101">
        <f t="shared" si="80"/>
        <v>-8.6250158522879997E-2</v>
      </c>
      <c r="CD69" s="102">
        <f t="shared" si="80"/>
        <v>0</v>
      </c>
      <c r="CE69" s="62">
        <f t="shared" ref="CE69:CG75" si="95">+BS69+BV69+BY69+CB69</f>
        <v>25847.069284112433</v>
      </c>
      <c r="CF69" s="63">
        <f t="shared" si="95"/>
        <v>9.7714435246771192</v>
      </c>
      <c r="CG69" s="64">
        <f t="shared" si="95"/>
        <v>0</v>
      </c>
      <c r="CH69" s="94">
        <f t="shared" si="81"/>
        <v>25887.745072389745</v>
      </c>
      <c r="CI69" s="95">
        <f t="shared" si="82"/>
        <v>34.09736980635904</v>
      </c>
      <c r="CJ69" s="96">
        <f t="shared" si="83"/>
        <v>0</v>
      </c>
      <c r="CK69" s="87">
        <v>592.75</v>
      </c>
      <c r="CL69" s="88"/>
      <c r="CM69" s="88"/>
      <c r="CN69" s="89"/>
      <c r="CO69" s="62">
        <f t="shared" ref="CO69:CP75" si="96">+CH69+BV69+BY69-CK69-CM69</f>
        <v>25304.322072389747</v>
      </c>
      <c r="CP69" s="63">
        <f t="shared" si="96"/>
        <v>18.587369806359042</v>
      </c>
      <c r="CQ69" s="64">
        <f t="shared" ref="CQ69:CQ75" si="97">+CJ69+BX69+CA69</f>
        <v>0</v>
      </c>
    </row>
    <row r="70" spans="1:96" ht="14.5" x14ac:dyDescent="0.35">
      <c r="A70" s="61" t="s">
        <v>435</v>
      </c>
      <c r="B70" s="87">
        <v>9420.2099999999991</v>
      </c>
      <c r="C70" s="88">
        <v>54.72</v>
      </c>
      <c r="D70" s="89">
        <v>0</v>
      </c>
      <c r="E70" s="87">
        <v>9420.2099219999982</v>
      </c>
      <c r="F70" s="88">
        <v>54.72</v>
      </c>
      <c r="G70" s="89">
        <v>0</v>
      </c>
      <c r="H70" s="87">
        <v>-33.46</v>
      </c>
      <c r="I70" s="88">
        <v>180.31</v>
      </c>
      <c r="J70" s="89">
        <v>0</v>
      </c>
      <c r="K70" s="87">
        <v>0</v>
      </c>
      <c r="L70" s="88">
        <v>0</v>
      </c>
      <c r="M70" s="89">
        <v>0</v>
      </c>
      <c r="N70" s="87">
        <v>0</v>
      </c>
      <c r="O70" s="88">
        <v>0</v>
      </c>
      <c r="P70" s="89">
        <v>0</v>
      </c>
      <c r="Q70" s="62">
        <f t="shared" si="84"/>
        <v>9386.7499219999991</v>
      </c>
      <c r="R70" s="63">
        <f t="shared" si="84"/>
        <v>235.03</v>
      </c>
      <c r="S70" s="64">
        <f t="shared" si="84"/>
        <v>0</v>
      </c>
      <c r="T70" s="62">
        <f t="shared" si="85"/>
        <v>9386.7499219999991</v>
      </c>
      <c r="U70" s="63">
        <f t="shared" si="85"/>
        <v>235.03</v>
      </c>
      <c r="V70" s="64">
        <f t="shared" si="85"/>
        <v>0</v>
      </c>
      <c r="W70" s="62">
        <f t="shared" si="86"/>
        <v>-33.46</v>
      </c>
      <c r="X70" s="63">
        <f t="shared" si="86"/>
        <v>180.31</v>
      </c>
      <c r="Y70" s="64">
        <f t="shared" si="86"/>
        <v>0</v>
      </c>
      <c r="Z70" s="113">
        <v>0</v>
      </c>
      <c r="AA70" s="113">
        <v>0</v>
      </c>
      <c r="AB70" s="113">
        <v>0</v>
      </c>
      <c r="AC70" s="115">
        <v>0</v>
      </c>
      <c r="AD70" s="115">
        <v>0</v>
      </c>
      <c r="AE70" s="115">
        <v>0</v>
      </c>
      <c r="AF70" s="62">
        <f t="shared" si="87"/>
        <v>9353.2899219999999</v>
      </c>
      <c r="AG70" s="63">
        <f t="shared" si="87"/>
        <v>415.34000000000003</v>
      </c>
      <c r="AH70" s="64">
        <f t="shared" si="87"/>
        <v>0</v>
      </c>
      <c r="AI70" s="94">
        <f t="shared" si="88"/>
        <v>9397.9032813333324</v>
      </c>
      <c r="AJ70" s="95">
        <f t="shared" si="88"/>
        <v>174.92666666666665</v>
      </c>
      <c r="AK70" s="96">
        <f t="shared" si="88"/>
        <v>0</v>
      </c>
      <c r="AL70" s="97">
        <v>994.72</v>
      </c>
      <c r="AM70" s="98"/>
      <c r="AN70" s="98"/>
      <c r="AO70" s="99"/>
      <c r="AP70" s="62">
        <f t="shared" si="89"/>
        <v>8369.7232813333339</v>
      </c>
      <c r="AQ70" s="63">
        <f t="shared" si="89"/>
        <v>355.23666666666668</v>
      </c>
      <c r="AR70" s="63">
        <f t="shared" si="90"/>
        <v>0</v>
      </c>
      <c r="AS70" s="64">
        <f t="shared" si="68"/>
        <v>0</v>
      </c>
      <c r="AT70" s="62">
        <f t="shared" si="69"/>
        <v>9353.2899219999999</v>
      </c>
      <c r="AU70" s="62">
        <f t="shared" si="70"/>
        <v>415.34000000000003</v>
      </c>
      <c r="AV70" s="100">
        <f t="shared" si="71"/>
        <v>0</v>
      </c>
      <c r="AW70" s="62">
        <f t="shared" si="72"/>
        <v>-33.46</v>
      </c>
      <c r="AX70" s="63">
        <f t="shared" si="73"/>
        <v>180.31</v>
      </c>
      <c r="AY70" s="64">
        <f t="shared" si="74"/>
        <v>0</v>
      </c>
      <c r="AZ70" s="62">
        <f t="shared" si="75"/>
        <v>0</v>
      </c>
      <c r="BA70" s="63">
        <f t="shared" si="75"/>
        <v>0</v>
      </c>
      <c r="BB70" s="64">
        <f t="shared" si="75"/>
        <v>0</v>
      </c>
      <c r="BC70" s="87">
        <v>0</v>
      </c>
      <c r="BD70" s="88">
        <v>0</v>
      </c>
      <c r="BE70" s="89">
        <v>0</v>
      </c>
      <c r="BF70" s="62">
        <f t="shared" si="91"/>
        <v>9319.8299220000008</v>
      </c>
      <c r="BG70" s="63">
        <f t="shared" si="91"/>
        <v>595.65000000000009</v>
      </c>
      <c r="BH70" s="64">
        <f t="shared" si="91"/>
        <v>0</v>
      </c>
      <c r="BI70" s="94">
        <f t="shared" si="76"/>
        <v>9364.4432553333336</v>
      </c>
      <c r="BJ70" s="95">
        <f t="shared" si="77"/>
        <v>355.23666666666668</v>
      </c>
      <c r="BK70" s="96">
        <f t="shared" si="78"/>
        <v>0</v>
      </c>
      <c r="BL70" s="87">
        <v>994.72</v>
      </c>
      <c r="BM70" s="88"/>
      <c r="BN70" s="88"/>
      <c r="BO70" s="89"/>
      <c r="BP70" s="62">
        <f t="shared" si="92"/>
        <v>8336.2632553333351</v>
      </c>
      <c r="BQ70" s="63">
        <f t="shared" si="92"/>
        <v>535.54666666666662</v>
      </c>
      <c r="BR70" s="64">
        <f t="shared" si="93"/>
        <v>0</v>
      </c>
      <c r="BS70" s="62">
        <f t="shared" si="79"/>
        <v>9319.8299220000008</v>
      </c>
      <c r="BT70" s="62">
        <f t="shared" si="79"/>
        <v>595.65000000000009</v>
      </c>
      <c r="BU70" s="100">
        <f t="shared" si="79"/>
        <v>0</v>
      </c>
      <c r="BV70" s="62">
        <f t="shared" si="94"/>
        <v>-33.46</v>
      </c>
      <c r="BW70" s="63">
        <f t="shared" si="94"/>
        <v>180.31</v>
      </c>
      <c r="BX70" s="64">
        <f t="shared" si="94"/>
        <v>0</v>
      </c>
      <c r="BY70" s="62">
        <f t="shared" si="94"/>
        <v>0</v>
      </c>
      <c r="BZ70" s="62">
        <f t="shared" si="94"/>
        <v>0</v>
      </c>
      <c r="CA70" s="100">
        <f t="shared" si="94"/>
        <v>0</v>
      </c>
      <c r="CB70" s="62">
        <f t="shared" si="94"/>
        <v>0</v>
      </c>
      <c r="CC70" s="62">
        <f t="shared" si="94"/>
        <v>0</v>
      </c>
      <c r="CD70" s="100">
        <f t="shared" si="94"/>
        <v>0</v>
      </c>
      <c r="CE70" s="62">
        <f t="shared" si="95"/>
        <v>9286.3699220000017</v>
      </c>
      <c r="CF70" s="63">
        <f t="shared" si="95"/>
        <v>775.96</v>
      </c>
      <c r="CG70" s="64">
        <f t="shared" si="95"/>
        <v>0</v>
      </c>
      <c r="CH70" s="94">
        <f t="shared" si="81"/>
        <v>9338.4188195555562</v>
      </c>
      <c r="CI70" s="95">
        <f t="shared" si="82"/>
        <v>495.47777777777782</v>
      </c>
      <c r="CJ70" s="96">
        <f t="shared" si="83"/>
        <v>0</v>
      </c>
      <c r="CK70" s="87">
        <v>994.72</v>
      </c>
      <c r="CL70" s="88"/>
      <c r="CM70" s="88"/>
      <c r="CN70" s="89"/>
      <c r="CO70" s="62">
        <f t="shared" si="96"/>
        <v>8310.2388195555577</v>
      </c>
      <c r="CP70" s="63">
        <f t="shared" si="96"/>
        <v>675.78777777777782</v>
      </c>
      <c r="CQ70" s="64">
        <f t="shared" si="97"/>
        <v>0</v>
      </c>
    </row>
    <row r="71" spans="1:96" ht="14.5" x14ac:dyDescent="0.35">
      <c r="A71" s="61" t="s">
        <v>436</v>
      </c>
      <c r="B71" s="87">
        <v>5148.68</v>
      </c>
      <c r="C71" s="88">
        <v>351.55</v>
      </c>
      <c r="D71" s="89">
        <v>0</v>
      </c>
      <c r="E71" s="87">
        <v>5148.6799360000005</v>
      </c>
      <c r="F71" s="88">
        <v>351.54999999999995</v>
      </c>
      <c r="G71" s="89">
        <v>0</v>
      </c>
      <c r="H71" s="87">
        <v>122.26</v>
      </c>
      <c r="I71" s="88">
        <v>-22.49</v>
      </c>
      <c r="J71" s="89">
        <v>0</v>
      </c>
      <c r="K71" s="87">
        <v>0</v>
      </c>
      <c r="L71" s="88">
        <v>0</v>
      </c>
      <c r="M71" s="89">
        <v>0</v>
      </c>
      <c r="N71" s="87">
        <v>0</v>
      </c>
      <c r="O71" s="88">
        <v>0</v>
      </c>
      <c r="P71" s="89">
        <v>0</v>
      </c>
      <c r="Q71" s="62">
        <f t="shared" si="84"/>
        <v>5270.9399360000007</v>
      </c>
      <c r="R71" s="63">
        <f t="shared" si="84"/>
        <v>329.05999999999995</v>
      </c>
      <c r="S71" s="64">
        <f t="shared" si="84"/>
        <v>0</v>
      </c>
      <c r="T71" s="62">
        <f t="shared" si="85"/>
        <v>5270.9399360000007</v>
      </c>
      <c r="U71" s="63">
        <f t="shared" si="85"/>
        <v>329.05999999999995</v>
      </c>
      <c r="V71" s="64">
        <f t="shared" si="85"/>
        <v>0</v>
      </c>
      <c r="W71" s="62">
        <f t="shared" si="86"/>
        <v>122.26</v>
      </c>
      <c r="X71" s="63">
        <f t="shared" si="86"/>
        <v>-22.49</v>
      </c>
      <c r="Y71" s="64">
        <f t="shared" si="86"/>
        <v>0</v>
      </c>
      <c r="Z71" s="113">
        <v>0</v>
      </c>
      <c r="AA71" s="113">
        <v>0</v>
      </c>
      <c r="AB71" s="113">
        <v>0</v>
      </c>
      <c r="AC71" s="115">
        <v>0</v>
      </c>
      <c r="AD71" s="115">
        <v>0</v>
      </c>
      <c r="AE71" s="115">
        <v>0</v>
      </c>
      <c r="AF71" s="62">
        <f t="shared" si="87"/>
        <v>5393.1999360000009</v>
      </c>
      <c r="AG71" s="63">
        <f t="shared" si="87"/>
        <v>306.56999999999994</v>
      </c>
      <c r="AH71" s="64">
        <f t="shared" si="87"/>
        <v>0</v>
      </c>
      <c r="AI71" s="94">
        <f t="shared" si="88"/>
        <v>5230.1866240000008</v>
      </c>
      <c r="AJ71" s="95">
        <f t="shared" si="88"/>
        <v>336.55666666666662</v>
      </c>
      <c r="AK71" s="96">
        <f t="shared" si="88"/>
        <v>0</v>
      </c>
      <c r="AL71" s="97">
        <v>340.41</v>
      </c>
      <c r="AM71" s="98"/>
      <c r="AN71" s="98"/>
      <c r="AO71" s="99"/>
      <c r="AP71" s="62">
        <f t="shared" si="89"/>
        <v>5012.0366240000012</v>
      </c>
      <c r="AQ71" s="63">
        <f t="shared" si="89"/>
        <v>314.06666666666661</v>
      </c>
      <c r="AR71" s="63">
        <f t="shared" si="90"/>
        <v>0</v>
      </c>
      <c r="AS71" s="64">
        <f t="shared" si="68"/>
        <v>0</v>
      </c>
      <c r="AT71" s="62">
        <f t="shared" si="69"/>
        <v>5393.1999360000009</v>
      </c>
      <c r="AU71" s="62">
        <f t="shared" si="70"/>
        <v>306.56999999999994</v>
      </c>
      <c r="AV71" s="100">
        <f t="shared" si="71"/>
        <v>0</v>
      </c>
      <c r="AW71" s="62">
        <f t="shared" si="72"/>
        <v>122.26</v>
      </c>
      <c r="AX71" s="63">
        <f t="shared" si="73"/>
        <v>-22.49</v>
      </c>
      <c r="AY71" s="64">
        <f t="shared" si="74"/>
        <v>0</v>
      </c>
      <c r="AZ71" s="62">
        <f t="shared" si="75"/>
        <v>0</v>
      </c>
      <c r="BA71" s="63">
        <f t="shared" si="75"/>
        <v>0</v>
      </c>
      <c r="BB71" s="64">
        <f t="shared" si="75"/>
        <v>0</v>
      </c>
      <c r="BC71" s="87">
        <v>0</v>
      </c>
      <c r="BD71" s="88">
        <v>0</v>
      </c>
      <c r="BE71" s="89">
        <v>0</v>
      </c>
      <c r="BF71" s="62">
        <f t="shared" si="91"/>
        <v>5515.4599360000011</v>
      </c>
      <c r="BG71" s="63">
        <f t="shared" si="91"/>
        <v>284.07999999999993</v>
      </c>
      <c r="BH71" s="64">
        <f t="shared" si="91"/>
        <v>0</v>
      </c>
      <c r="BI71" s="94">
        <f t="shared" si="76"/>
        <v>5352.4466026666678</v>
      </c>
      <c r="BJ71" s="95">
        <f t="shared" si="77"/>
        <v>314.06666666666661</v>
      </c>
      <c r="BK71" s="96">
        <f t="shared" si="78"/>
        <v>0</v>
      </c>
      <c r="BL71" s="87">
        <v>340.41</v>
      </c>
      <c r="BM71" s="88"/>
      <c r="BN71" s="88"/>
      <c r="BO71" s="89"/>
      <c r="BP71" s="62">
        <f t="shared" si="92"/>
        <v>5134.2966026666682</v>
      </c>
      <c r="BQ71" s="63">
        <f t="shared" si="92"/>
        <v>291.5766666666666</v>
      </c>
      <c r="BR71" s="64">
        <f t="shared" si="93"/>
        <v>0</v>
      </c>
      <c r="BS71" s="62">
        <f t="shared" si="79"/>
        <v>5515.4599360000011</v>
      </c>
      <c r="BT71" s="62">
        <f t="shared" si="79"/>
        <v>284.07999999999993</v>
      </c>
      <c r="BU71" s="100">
        <f t="shared" si="79"/>
        <v>0</v>
      </c>
      <c r="BV71" s="62">
        <f t="shared" si="94"/>
        <v>122.26</v>
      </c>
      <c r="BW71" s="63">
        <f t="shared" si="94"/>
        <v>-22.49</v>
      </c>
      <c r="BX71" s="64">
        <f t="shared" si="94"/>
        <v>0</v>
      </c>
      <c r="BY71" s="62">
        <f t="shared" si="94"/>
        <v>0</v>
      </c>
      <c r="BZ71" s="62">
        <f t="shared" si="94"/>
        <v>0</v>
      </c>
      <c r="CA71" s="100">
        <f t="shared" si="94"/>
        <v>0</v>
      </c>
      <c r="CB71" s="62">
        <f t="shared" si="94"/>
        <v>0</v>
      </c>
      <c r="CC71" s="62">
        <f t="shared" si="94"/>
        <v>0</v>
      </c>
      <c r="CD71" s="100">
        <f t="shared" si="94"/>
        <v>0</v>
      </c>
      <c r="CE71" s="62">
        <f t="shared" si="95"/>
        <v>5637.7199360000013</v>
      </c>
      <c r="CF71" s="63">
        <f t="shared" si="95"/>
        <v>261.58999999999992</v>
      </c>
      <c r="CG71" s="64">
        <f t="shared" si="95"/>
        <v>0</v>
      </c>
      <c r="CH71" s="94">
        <f t="shared" si="81"/>
        <v>5447.5377208888904</v>
      </c>
      <c r="CI71" s="95">
        <f t="shared" si="82"/>
        <v>296.5744444444444</v>
      </c>
      <c r="CJ71" s="96">
        <f t="shared" si="83"/>
        <v>0</v>
      </c>
      <c r="CK71" s="87">
        <v>340.41</v>
      </c>
      <c r="CL71" s="88"/>
      <c r="CM71" s="88"/>
      <c r="CN71" s="89"/>
      <c r="CO71" s="62">
        <f t="shared" si="96"/>
        <v>5229.3877208888907</v>
      </c>
      <c r="CP71" s="63">
        <f t="shared" si="96"/>
        <v>274.08444444444439</v>
      </c>
      <c r="CQ71" s="64">
        <f t="shared" si="97"/>
        <v>0</v>
      </c>
    </row>
    <row r="72" spans="1:96" ht="14.5" x14ac:dyDescent="0.35">
      <c r="A72" s="61" t="s">
        <v>437</v>
      </c>
      <c r="B72" s="87">
        <v>2609.58</v>
      </c>
      <c r="C72" s="88">
        <v>31.34</v>
      </c>
      <c r="D72" s="89">
        <v>0</v>
      </c>
      <c r="E72" s="87">
        <v>2609.5800659999995</v>
      </c>
      <c r="F72" s="88">
        <v>31.34</v>
      </c>
      <c r="G72" s="89">
        <v>0</v>
      </c>
      <c r="H72" s="87">
        <v>90.91</v>
      </c>
      <c r="I72" s="88">
        <v>-31.34</v>
      </c>
      <c r="J72" s="89">
        <v>0</v>
      </c>
      <c r="K72" s="87">
        <v>0</v>
      </c>
      <c r="L72" s="88">
        <v>0</v>
      </c>
      <c r="M72" s="89">
        <v>0</v>
      </c>
      <c r="N72" s="87">
        <v>0</v>
      </c>
      <c r="O72" s="88">
        <v>0</v>
      </c>
      <c r="P72" s="89">
        <v>0</v>
      </c>
      <c r="Q72" s="62">
        <f t="shared" si="84"/>
        <v>2700.4900659999994</v>
      </c>
      <c r="R72" s="63">
        <f t="shared" si="84"/>
        <v>0</v>
      </c>
      <c r="S72" s="64">
        <f t="shared" si="84"/>
        <v>0</v>
      </c>
      <c r="T72" s="62">
        <f t="shared" si="85"/>
        <v>2700.4900659999994</v>
      </c>
      <c r="U72" s="63">
        <f t="shared" si="85"/>
        <v>0</v>
      </c>
      <c r="V72" s="64">
        <f t="shared" si="85"/>
        <v>0</v>
      </c>
      <c r="W72" s="62">
        <f t="shared" si="86"/>
        <v>90.91</v>
      </c>
      <c r="X72" s="63">
        <f t="shared" si="86"/>
        <v>-31.34</v>
      </c>
      <c r="Y72" s="64">
        <f t="shared" si="86"/>
        <v>0</v>
      </c>
      <c r="Z72" s="113">
        <v>0</v>
      </c>
      <c r="AA72" s="113">
        <v>0</v>
      </c>
      <c r="AB72" s="113">
        <v>0</v>
      </c>
      <c r="AC72" s="115">
        <v>0</v>
      </c>
      <c r="AD72" s="115">
        <v>0</v>
      </c>
      <c r="AE72" s="115">
        <v>0</v>
      </c>
      <c r="AF72" s="62">
        <f t="shared" si="87"/>
        <v>2791.4000659999992</v>
      </c>
      <c r="AG72" s="63">
        <f t="shared" si="87"/>
        <v>-31.34</v>
      </c>
      <c r="AH72" s="64">
        <f t="shared" si="87"/>
        <v>0</v>
      </c>
      <c r="AI72" s="94">
        <f t="shared" si="88"/>
        <v>2670.1867106666664</v>
      </c>
      <c r="AJ72" s="95">
        <f t="shared" si="88"/>
        <v>10.446666666666667</v>
      </c>
      <c r="AK72" s="96">
        <f t="shared" si="88"/>
        <v>0</v>
      </c>
      <c r="AL72" s="97">
        <v>17.57</v>
      </c>
      <c r="AM72" s="98"/>
      <c r="AN72" s="98">
        <v>58.7</v>
      </c>
      <c r="AO72" s="99"/>
      <c r="AP72" s="62">
        <f t="shared" si="89"/>
        <v>2684.8267106666663</v>
      </c>
      <c r="AQ72" s="63">
        <f t="shared" si="89"/>
        <v>-20.893333333333331</v>
      </c>
      <c r="AR72" s="63">
        <f t="shared" si="90"/>
        <v>0</v>
      </c>
      <c r="AS72" s="64">
        <f t="shared" si="68"/>
        <v>0</v>
      </c>
      <c r="AT72" s="62">
        <f t="shared" si="69"/>
        <v>2791.4000659999992</v>
      </c>
      <c r="AU72" s="62">
        <f t="shared" si="70"/>
        <v>-31.34</v>
      </c>
      <c r="AV72" s="100">
        <f t="shared" si="71"/>
        <v>0</v>
      </c>
      <c r="AW72" s="62">
        <f t="shared" si="72"/>
        <v>90.91</v>
      </c>
      <c r="AX72" s="63">
        <f t="shared" si="73"/>
        <v>-31.34</v>
      </c>
      <c r="AY72" s="64">
        <f t="shared" si="74"/>
        <v>0</v>
      </c>
      <c r="AZ72" s="62">
        <f t="shared" si="75"/>
        <v>0</v>
      </c>
      <c r="BA72" s="63">
        <f t="shared" si="75"/>
        <v>0</v>
      </c>
      <c r="BB72" s="64">
        <f t="shared" si="75"/>
        <v>0</v>
      </c>
      <c r="BC72" s="87">
        <v>0</v>
      </c>
      <c r="BD72" s="88">
        <v>0</v>
      </c>
      <c r="BE72" s="89">
        <v>0</v>
      </c>
      <c r="BF72" s="62">
        <f t="shared" si="91"/>
        <v>2882.3100659999991</v>
      </c>
      <c r="BG72" s="63">
        <f t="shared" si="91"/>
        <v>-62.68</v>
      </c>
      <c r="BH72" s="64">
        <f t="shared" si="91"/>
        <v>0</v>
      </c>
      <c r="BI72" s="94">
        <f t="shared" si="76"/>
        <v>2761.0967326666664</v>
      </c>
      <c r="BJ72" s="95">
        <f t="shared" si="77"/>
        <v>-20.893333333333331</v>
      </c>
      <c r="BK72" s="96">
        <f t="shared" si="78"/>
        <v>0</v>
      </c>
      <c r="BL72" s="87">
        <v>17.57</v>
      </c>
      <c r="BM72" s="88"/>
      <c r="BN72" s="88">
        <v>58.7</v>
      </c>
      <c r="BO72" s="89"/>
      <c r="BP72" s="62">
        <f t="shared" si="92"/>
        <v>2775.7367326666663</v>
      </c>
      <c r="BQ72" s="63">
        <f t="shared" si="92"/>
        <v>-52.233333333333334</v>
      </c>
      <c r="BR72" s="64">
        <f t="shared" si="93"/>
        <v>0</v>
      </c>
      <c r="BS72" s="62">
        <f t="shared" si="79"/>
        <v>2882.3100659999991</v>
      </c>
      <c r="BT72" s="62">
        <f t="shared" si="79"/>
        <v>-62.68</v>
      </c>
      <c r="BU72" s="100">
        <f t="shared" si="79"/>
        <v>0</v>
      </c>
      <c r="BV72" s="62">
        <f t="shared" si="94"/>
        <v>90.91</v>
      </c>
      <c r="BW72" s="63">
        <f t="shared" si="94"/>
        <v>-31.34</v>
      </c>
      <c r="BX72" s="64">
        <f t="shared" si="94"/>
        <v>0</v>
      </c>
      <c r="BY72" s="62">
        <f t="shared" si="94"/>
        <v>0</v>
      </c>
      <c r="BZ72" s="62">
        <f t="shared" si="94"/>
        <v>0</v>
      </c>
      <c r="CA72" s="100">
        <f t="shared" si="94"/>
        <v>0</v>
      </c>
      <c r="CB72" s="62">
        <f t="shared" si="94"/>
        <v>0</v>
      </c>
      <c r="CC72" s="62">
        <f t="shared" si="94"/>
        <v>0</v>
      </c>
      <c r="CD72" s="100">
        <f t="shared" si="94"/>
        <v>0</v>
      </c>
      <c r="CE72" s="62">
        <f t="shared" si="95"/>
        <v>2973.220065999999</v>
      </c>
      <c r="CF72" s="63">
        <f t="shared" si="95"/>
        <v>-94.02</v>
      </c>
      <c r="CG72" s="64">
        <f t="shared" si="95"/>
        <v>0</v>
      </c>
      <c r="CH72" s="94">
        <f t="shared" si="81"/>
        <v>2831.8045031111105</v>
      </c>
      <c r="CI72" s="95">
        <f t="shared" si="82"/>
        <v>-45.268888888888881</v>
      </c>
      <c r="CJ72" s="96">
        <f t="shared" si="83"/>
        <v>0</v>
      </c>
      <c r="CK72" s="87">
        <v>17.57</v>
      </c>
      <c r="CL72" s="88"/>
      <c r="CM72" s="88">
        <v>58.7</v>
      </c>
      <c r="CN72" s="89"/>
      <c r="CO72" s="62">
        <f t="shared" si="96"/>
        <v>2846.4445031111104</v>
      </c>
      <c r="CP72" s="63">
        <f t="shared" si="96"/>
        <v>-76.608888888888885</v>
      </c>
      <c r="CQ72" s="64">
        <f t="shared" si="97"/>
        <v>0</v>
      </c>
    </row>
    <row r="73" spans="1:96" ht="14.5" x14ac:dyDescent="0.35">
      <c r="A73" s="61" t="s">
        <v>438</v>
      </c>
      <c r="B73" s="87">
        <v>11784.29</v>
      </c>
      <c r="C73" s="88">
        <v>1030.44</v>
      </c>
      <c r="D73" s="89">
        <v>0</v>
      </c>
      <c r="E73" s="87">
        <v>11784.29</v>
      </c>
      <c r="F73" s="88">
        <v>1030.4400000000003</v>
      </c>
      <c r="G73" s="89">
        <v>0</v>
      </c>
      <c r="H73" s="87">
        <v>0</v>
      </c>
      <c r="I73" s="88">
        <v>0</v>
      </c>
      <c r="J73" s="89">
        <v>0</v>
      </c>
      <c r="K73" s="87">
        <v>282.52</v>
      </c>
      <c r="L73" s="88">
        <v>80.069999999999993</v>
      </c>
      <c r="M73" s="89">
        <v>0</v>
      </c>
      <c r="N73" s="87">
        <v>0</v>
      </c>
      <c r="O73" s="88">
        <v>0</v>
      </c>
      <c r="P73" s="89">
        <v>0</v>
      </c>
      <c r="Q73" s="62">
        <f t="shared" si="84"/>
        <v>12066.810000000001</v>
      </c>
      <c r="R73" s="63">
        <f t="shared" si="84"/>
        <v>1110.5100000000002</v>
      </c>
      <c r="S73" s="64">
        <f t="shared" si="84"/>
        <v>0</v>
      </c>
      <c r="T73" s="62">
        <f t="shared" si="85"/>
        <v>12066.810000000001</v>
      </c>
      <c r="U73" s="63">
        <f t="shared" si="85"/>
        <v>1110.5100000000002</v>
      </c>
      <c r="V73" s="64">
        <f t="shared" si="85"/>
        <v>0</v>
      </c>
      <c r="W73" s="62">
        <f t="shared" si="86"/>
        <v>0</v>
      </c>
      <c r="X73" s="63">
        <f t="shared" si="86"/>
        <v>0</v>
      </c>
      <c r="Y73" s="64">
        <f t="shared" si="86"/>
        <v>0</v>
      </c>
      <c r="Z73" s="105">
        <v>282.52</v>
      </c>
      <c r="AA73" s="105">
        <v>80.069999999999993</v>
      </c>
      <c r="AB73" s="105">
        <v>0</v>
      </c>
      <c r="AC73" s="115">
        <v>0</v>
      </c>
      <c r="AD73" s="115">
        <v>0</v>
      </c>
      <c r="AE73" s="115">
        <v>0</v>
      </c>
      <c r="AF73" s="62">
        <f t="shared" si="87"/>
        <v>12349.330000000002</v>
      </c>
      <c r="AG73" s="63">
        <f t="shared" si="87"/>
        <v>1190.5800000000002</v>
      </c>
      <c r="AH73" s="64">
        <f t="shared" si="87"/>
        <v>0</v>
      </c>
      <c r="AI73" s="94">
        <f t="shared" si="88"/>
        <v>12066.810000000003</v>
      </c>
      <c r="AJ73" s="95">
        <f t="shared" si="88"/>
        <v>1110.5100000000002</v>
      </c>
      <c r="AK73" s="96">
        <f t="shared" si="88"/>
        <v>0</v>
      </c>
      <c r="AL73" s="97">
        <v>293.69</v>
      </c>
      <c r="AM73" s="98"/>
      <c r="AN73" s="98"/>
      <c r="AO73" s="99"/>
      <c r="AP73" s="62">
        <f t="shared" si="89"/>
        <v>11773.120000000003</v>
      </c>
      <c r="AQ73" s="63">
        <f t="shared" si="89"/>
        <v>1110.5100000000002</v>
      </c>
      <c r="AR73" s="63">
        <f t="shared" si="90"/>
        <v>0</v>
      </c>
      <c r="AS73" s="64">
        <f t="shared" si="68"/>
        <v>0</v>
      </c>
      <c r="AT73" s="62">
        <f t="shared" si="69"/>
        <v>12349.330000000002</v>
      </c>
      <c r="AU73" s="62">
        <f t="shared" si="70"/>
        <v>1190.5800000000002</v>
      </c>
      <c r="AV73" s="100">
        <f t="shared" si="71"/>
        <v>0</v>
      </c>
      <c r="AW73" s="62">
        <f t="shared" si="72"/>
        <v>0</v>
      </c>
      <c r="AX73" s="63">
        <f t="shared" si="73"/>
        <v>0</v>
      </c>
      <c r="AY73" s="64">
        <f t="shared" si="74"/>
        <v>0</v>
      </c>
      <c r="AZ73" s="62">
        <f t="shared" si="75"/>
        <v>282.52</v>
      </c>
      <c r="BA73" s="63">
        <f t="shared" si="75"/>
        <v>80.069999999999993</v>
      </c>
      <c r="BB73" s="64">
        <f t="shared" si="75"/>
        <v>0</v>
      </c>
      <c r="BC73" s="87">
        <v>0</v>
      </c>
      <c r="BD73" s="88">
        <v>0</v>
      </c>
      <c r="BE73" s="89">
        <v>0</v>
      </c>
      <c r="BF73" s="62">
        <f t="shared" si="91"/>
        <v>12631.850000000002</v>
      </c>
      <c r="BG73" s="63">
        <f t="shared" si="91"/>
        <v>1270.6500000000001</v>
      </c>
      <c r="BH73" s="64">
        <f t="shared" si="91"/>
        <v>0</v>
      </c>
      <c r="BI73" s="94">
        <f t="shared" si="76"/>
        <v>12255.156666666669</v>
      </c>
      <c r="BJ73" s="95">
        <f t="shared" si="77"/>
        <v>1163.8900000000001</v>
      </c>
      <c r="BK73" s="96">
        <f t="shared" si="78"/>
        <v>0</v>
      </c>
      <c r="BL73" s="87">
        <v>293.69</v>
      </c>
      <c r="BM73" s="88"/>
      <c r="BN73" s="88"/>
      <c r="BO73" s="89"/>
      <c r="BP73" s="62">
        <f t="shared" si="92"/>
        <v>12243.986666666669</v>
      </c>
      <c r="BQ73" s="63">
        <f t="shared" si="92"/>
        <v>1243.96</v>
      </c>
      <c r="BR73" s="64">
        <f t="shared" si="93"/>
        <v>0</v>
      </c>
      <c r="BS73" s="62">
        <f t="shared" si="79"/>
        <v>12631.850000000002</v>
      </c>
      <c r="BT73" s="62">
        <f t="shared" si="79"/>
        <v>1270.6500000000001</v>
      </c>
      <c r="BU73" s="100">
        <f t="shared" si="79"/>
        <v>0</v>
      </c>
      <c r="BV73" s="62">
        <f t="shared" si="94"/>
        <v>0</v>
      </c>
      <c r="BW73" s="63">
        <f t="shared" si="94"/>
        <v>0</v>
      </c>
      <c r="BX73" s="64">
        <f t="shared" si="94"/>
        <v>0</v>
      </c>
      <c r="BY73" s="62">
        <f t="shared" si="94"/>
        <v>282.52</v>
      </c>
      <c r="BZ73" s="62">
        <f t="shared" si="94"/>
        <v>80.069999999999993</v>
      </c>
      <c r="CA73" s="100">
        <f t="shared" si="94"/>
        <v>0</v>
      </c>
      <c r="CB73" s="62">
        <f t="shared" si="94"/>
        <v>0</v>
      </c>
      <c r="CC73" s="62">
        <f t="shared" si="94"/>
        <v>0</v>
      </c>
      <c r="CD73" s="100">
        <f t="shared" si="94"/>
        <v>0</v>
      </c>
      <c r="CE73" s="62">
        <f t="shared" si="95"/>
        <v>12914.370000000003</v>
      </c>
      <c r="CF73" s="63">
        <f t="shared" si="95"/>
        <v>1350.72</v>
      </c>
      <c r="CG73" s="64">
        <f t="shared" si="95"/>
        <v>0</v>
      </c>
      <c r="CH73" s="94">
        <f t="shared" si="81"/>
        <v>12412.112222222226</v>
      </c>
      <c r="CI73" s="95">
        <f t="shared" si="82"/>
        <v>1208.3733333333334</v>
      </c>
      <c r="CJ73" s="96">
        <f t="shared" si="83"/>
        <v>0</v>
      </c>
      <c r="CK73" s="87">
        <v>293.69</v>
      </c>
      <c r="CL73" s="88"/>
      <c r="CM73" s="88"/>
      <c r="CN73" s="89"/>
      <c r="CO73" s="62">
        <f t="shared" si="96"/>
        <v>12400.942222222226</v>
      </c>
      <c r="CP73" s="63">
        <f t="shared" si="96"/>
        <v>1288.4433333333334</v>
      </c>
      <c r="CQ73" s="64">
        <f t="shared" si="97"/>
        <v>0</v>
      </c>
    </row>
    <row r="74" spans="1:96" ht="14.5" x14ac:dyDescent="0.35">
      <c r="A74" s="61" t="s">
        <v>439</v>
      </c>
      <c r="B74" s="87">
        <v>15038.76</v>
      </c>
      <c r="C74" s="88">
        <v>203.33</v>
      </c>
      <c r="D74" s="89">
        <v>186.56</v>
      </c>
      <c r="E74" s="87">
        <v>15038.760000000002</v>
      </c>
      <c r="F74" s="88">
        <v>203.32999999999998</v>
      </c>
      <c r="G74" s="89">
        <v>186.56</v>
      </c>
      <c r="H74" s="87">
        <v>0</v>
      </c>
      <c r="I74" s="88">
        <v>0</v>
      </c>
      <c r="J74" s="89">
        <v>0</v>
      </c>
      <c r="K74" s="87">
        <v>1085.73</v>
      </c>
      <c r="L74" s="88">
        <v>51.31</v>
      </c>
      <c r="M74" s="89">
        <v>15.65</v>
      </c>
      <c r="N74" s="87">
        <v>0</v>
      </c>
      <c r="O74" s="88">
        <v>0</v>
      </c>
      <c r="P74" s="89">
        <v>0</v>
      </c>
      <c r="Q74" s="62">
        <f t="shared" si="84"/>
        <v>16124.490000000002</v>
      </c>
      <c r="R74" s="63">
        <f t="shared" si="84"/>
        <v>254.64</v>
      </c>
      <c r="S74" s="64">
        <f t="shared" si="84"/>
        <v>202.21</v>
      </c>
      <c r="T74" s="62">
        <f t="shared" si="85"/>
        <v>16124.490000000002</v>
      </c>
      <c r="U74" s="63">
        <f t="shared" si="85"/>
        <v>254.64</v>
      </c>
      <c r="V74" s="64">
        <f t="shared" si="85"/>
        <v>202.21</v>
      </c>
      <c r="W74" s="62">
        <f t="shared" si="86"/>
        <v>0</v>
      </c>
      <c r="X74" s="63">
        <f t="shared" si="86"/>
        <v>0</v>
      </c>
      <c r="Y74" s="64">
        <f t="shared" si="86"/>
        <v>0</v>
      </c>
      <c r="Z74" s="113">
        <v>0</v>
      </c>
      <c r="AA74" s="113">
        <v>0</v>
      </c>
      <c r="AB74" s="113">
        <v>0</v>
      </c>
      <c r="AC74" s="108">
        <v>-54.823265999999997</v>
      </c>
      <c r="AD74" s="108">
        <v>-0.86577599999999988</v>
      </c>
      <c r="AE74" s="108">
        <v>-0.68751399999999996</v>
      </c>
      <c r="AF74" s="62">
        <f t="shared" si="87"/>
        <v>16069.666734000002</v>
      </c>
      <c r="AG74" s="63">
        <f t="shared" si="87"/>
        <v>253.77422399999998</v>
      </c>
      <c r="AH74" s="64">
        <f t="shared" si="87"/>
        <v>201.52248600000001</v>
      </c>
      <c r="AI74" s="94">
        <f t="shared" si="88"/>
        <v>15744.305578</v>
      </c>
      <c r="AJ74" s="95">
        <f t="shared" si="88"/>
        <v>237.24807466666667</v>
      </c>
      <c r="AK74" s="96">
        <f t="shared" si="88"/>
        <v>196.76416200000003</v>
      </c>
      <c r="AL74" s="97">
        <v>209.8</v>
      </c>
      <c r="AM74" s="98"/>
      <c r="AN74" s="98">
        <v>32.369999999999997</v>
      </c>
      <c r="AO74" s="99"/>
      <c r="AP74" s="62">
        <f t="shared" si="89"/>
        <v>15502.135577999999</v>
      </c>
      <c r="AQ74" s="63">
        <f t="shared" si="89"/>
        <v>237.24807466666667</v>
      </c>
      <c r="AR74" s="63">
        <f t="shared" si="90"/>
        <v>196.76416200000003</v>
      </c>
      <c r="AS74" s="64">
        <f t="shared" si="68"/>
        <v>201.52248600000001</v>
      </c>
      <c r="AT74" s="62">
        <f t="shared" si="69"/>
        <v>16069.666734000002</v>
      </c>
      <c r="AU74" s="62">
        <f t="shared" si="70"/>
        <v>253.77422399999998</v>
      </c>
      <c r="AV74" s="100">
        <f t="shared" si="71"/>
        <v>201.52248600000001</v>
      </c>
      <c r="AW74" s="62">
        <f t="shared" si="72"/>
        <v>0</v>
      </c>
      <c r="AX74" s="63">
        <f t="shared" si="73"/>
        <v>0</v>
      </c>
      <c r="AY74" s="64">
        <f t="shared" si="74"/>
        <v>0</v>
      </c>
      <c r="AZ74" s="62">
        <f t="shared" si="75"/>
        <v>0</v>
      </c>
      <c r="BA74" s="63">
        <f t="shared" si="75"/>
        <v>0</v>
      </c>
      <c r="BB74" s="64">
        <f t="shared" si="75"/>
        <v>0</v>
      </c>
      <c r="BC74" s="87">
        <v>-54.636866895600001</v>
      </c>
      <c r="BD74" s="88">
        <v>-0.86283236159999988</v>
      </c>
      <c r="BE74" s="89">
        <v>-0.68517645240000002</v>
      </c>
      <c r="BF74" s="62">
        <f t="shared" si="91"/>
        <v>16015.029867104402</v>
      </c>
      <c r="BG74" s="63">
        <f t="shared" si="91"/>
        <v>252.91139163839998</v>
      </c>
      <c r="BH74" s="64">
        <f t="shared" si="91"/>
        <v>200.83730954760003</v>
      </c>
      <c r="BI74" s="94">
        <f t="shared" si="76"/>
        <v>16069.728867034801</v>
      </c>
      <c r="BJ74" s="95">
        <f t="shared" si="77"/>
        <v>253.77520521279999</v>
      </c>
      <c r="BK74" s="96">
        <f t="shared" si="78"/>
        <v>201.52326518253335</v>
      </c>
      <c r="BL74" s="87">
        <v>209.8</v>
      </c>
      <c r="BM74" s="88"/>
      <c r="BN74" s="88">
        <v>32.369999999999997</v>
      </c>
      <c r="BO74" s="89"/>
      <c r="BP74" s="62">
        <f t="shared" si="92"/>
        <v>15827.558867034801</v>
      </c>
      <c r="BQ74" s="63">
        <f t="shared" si="92"/>
        <v>253.77520521279999</v>
      </c>
      <c r="BR74" s="64">
        <f t="shared" si="93"/>
        <v>201.52326518253335</v>
      </c>
      <c r="BS74" s="62">
        <f t="shared" si="79"/>
        <v>16015.029867104402</v>
      </c>
      <c r="BT74" s="62">
        <f t="shared" si="79"/>
        <v>252.91139163839998</v>
      </c>
      <c r="BU74" s="100">
        <f t="shared" si="79"/>
        <v>200.83730954760003</v>
      </c>
      <c r="BV74" s="62">
        <f t="shared" si="94"/>
        <v>0</v>
      </c>
      <c r="BW74" s="63">
        <f t="shared" si="94"/>
        <v>0</v>
      </c>
      <c r="BX74" s="64">
        <f t="shared" si="94"/>
        <v>0</v>
      </c>
      <c r="BY74" s="87">
        <v>0</v>
      </c>
      <c r="BZ74" s="88">
        <v>0</v>
      </c>
      <c r="CA74" s="89">
        <v>0</v>
      </c>
      <c r="CB74" s="101">
        <f>-(BS74*0.0034)</f>
        <v>-54.451101548154966</v>
      </c>
      <c r="CC74" s="101">
        <f>-(BT74*0.0034)</f>
        <v>-0.85989873157055985</v>
      </c>
      <c r="CD74" s="102">
        <f>-(BU74*0.0034)</f>
        <v>-0.68284685246184007</v>
      </c>
      <c r="CE74" s="62">
        <f t="shared" si="95"/>
        <v>15960.578765556247</v>
      </c>
      <c r="CF74" s="63">
        <f t="shared" si="95"/>
        <v>252.05149290682942</v>
      </c>
      <c r="CG74" s="64">
        <f t="shared" si="95"/>
        <v>200.15446269513819</v>
      </c>
      <c r="CH74" s="94">
        <f t="shared" si="81"/>
        <v>15924.871070197014</v>
      </c>
      <c r="CI74" s="95">
        <f t="shared" si="82"/>
        <v>247.69159092876535</v>
      </c>
      <c r="CJ74" s="96">
        <f t="shared" si="83"/>
        <v>199.48062995922388</v>
      </c>
      <c r="CK74" s="87">
        <v>209.8</v>
      </c>
      <c r="CL74" s="88"/>
      <c r="CM74" s="88">
        <v>32.369999999999997</v>
      </c>
      <c r="CN74" s="89"/>
      <c r="CO74" s="62">
        <f t="shared" si="96"/>
        <v>15682.701070197014</v>
      </c>
      <c r="CP74" s="63">
        <f t="shared" si="96"/>
        <v>247.69159092876535</v>
      </c>
      <c r="CQ74" s="64">
        <f t="shared" si="97"/>
        <v>199.48062995922388</v>
      </c>
    </row>
    <row r="75" spans="1:96" ht="14.5" x14ac:dyDescent="0.35">
      <c r="A75" s="61" t="s">
        <v>440</v>
      </c>
      <c r="B75" s="87">
        <v>7446.38</v>
      </c>
      <c r="C75" s="88">
        <v>179.63</v>
      </c>
      <c r="D75" s="89">
        <v>0</v>
      </c>
      <c r="E75" s="87">
        <v>7446.38</v>
      </c>
      <c r="F75" s="88">
        <v>179.63000000000002</v>
      </c>
      <c r="G75" s="89">
        <v>0</v>
      </c>
      <c r="H75" s="87">
        <v>6.9390000000000001</v>
      </c>
      <c r="I75" s="88">
        <v>-11.54</v>
      </c>
      <c r="J75" s="89">
        <v>0</v>
      </c>
      <c r="K75" s="87">
        <v>4.5910000000000002</v>
      </c>
      <c r="L75" s="88">
        <v>0</v>
      </c>
      <c r="M75" s="89">
        <v>0</v>
      </c>
      <c r="N75" s="87">
        <v>0</v>
      </c>
      <c r="O75" s="88">
        <v>0</v>
      </c>
      <c r="P75" s="89">
        <v>0</v>
      </c>
      <c r="Q75" s="62">
        <f t="shared" si="84"/>
        <v>7457.9100000000008</v>
      </c>
      <c r="R75" s="63">
        <f t="shared" si="84"/>
        <v>168.09000000000003</v>
      </c>
      <c r="S75" s="64">
        <f t="shared" si="84"/>
        <v>0</v>
      </c>
      <c r="T75" s="62">
        <f t="shared" si="85"/>
        <v>7457.9100000000008</v>
      </c>
      <c r="U75" s="63">
        <f t="shared" si="85"/>
        <v>168.09000000000003</v>
      </c>
      <c r="V75" s="64">
        <f t="shared" si="85"/>
        <v>0</v>
      </c>
      <c r="W75" s="62">
        <f t="shared" si="86"/>
        <v>6.9390000000000001</v>
      </c>
      <c r="X75" s="63">
        <f t="shared" si="86"/>
        <v>-11.54</v>
      </c>
      <c r="Y75" s="64">
        <f t="shared" si="86"/>
        <v>0</v>
      </c>
      <c r="Z75" s="118">
        <v>4.5910000000000002</v>
      </c>
      <c r="AA75" s="118">
        <v>0</v>
      </c>
      <c r="AB75" s="118">
        <v>0</v>
      </c>
      <c r="AC75" s="119">
        <v>0</v>
      </c>
      <c r="AD75" s="119">
        <v>0</v>
      </c>
      <c r="AE75" s="119">
        <v>0</v>
      </c>
      <c r="AF75" s="62">
        <f t="shared" si="87"/>
        <v>7469.4400000000014</v>
      </c>
      <c r="AG75" s="63">
        <f t="shared" si="87"/>
        <v>156.55000000000004</v>
      </c>
      <c r="AH75" s="64">
        <f t="shared" si="87"/>
        <v>0</v>
      </c>
      <c r="AI75" s="94">
        <f t="shared" si="88"/>
        <v>7455.5970000000016</v>
      </c>
      <c r="AJ75" s="95">
        <f t="shared" si="88"/>
        <v>171.9366666666667</v>
      </c>
      <c r="AK75" s="96">
        <f t="shared" si="88"/>
        <v>0</v>
      </c>
      <c r="AL75" s="97">
        <v>338.58</v>
      </c>
      <c r="AM75" s="98"/>
      <c r="AN75" s="98"/>
      <c r="AO75" s="99"/>
      <c r="AP75" s="62">
        <f t="shared" si="89"/>
        <v>7123.9560000000019</v>
      </c>
      <c r="AQ75" s="63">
        <f t="shared" si="89"/>
        <v>160.3966666666667</v>
      </c>
      <c r="AR75" s="63">
        <f t="shared" si="90"/>
        <v>0</v>
      </c>
      <c r="AS75" s="64">
        <f t="shared" si="68"/>
        <v>0</v>
      </c>
      <c r="AT75" s="62">
        <f t="shared" si="69"/>
        <v>7469.4400000000014</v>
      </c>
      <c r="AU75" s="62">
        <f t="shared" si="70"/>
        <v>156.55000000000004</v>
      </c>
      <c r="AV75" s="100">
        <f t="shared" si="71"/>
        <v>0</v>
      </c>
      <c r="AW75" s="62">
        <f t="shared" si="72"/>
        <v>6.9390000000000001</v>
      </c>
      <c r="AX75" s="63">
        <f t="shared" si="73"/>
        <v>-11.54</v>
      </c>
      <c r="AY75" s="64">
        <f t="shared" si="74"/>
        <v>0</v>
      </c>
      <c r="AZ75" s="62">
        <f t="shared" si="75"/>
        <v>4.5910000000000002</v>
      </c>
      <c r="BA75" s="63">
        <f t="shared" si="75"/>
        <v>0</v>
      </c>
      <c r="BB75" s="64">
        <f t="shared" si="75"/>
        <v>0</v>
      </c>
      <c r="BC75" s="87">
        <v>0</v>
      </c>
      <c r="BD75" s="88">
        <v>0</v>
      </c>
      <c r="BE75" s="89">
        <v>0</v>
      </c>
      <c r="BF75" s="62">
        <f t="shared" si="91"/>
        <v>7480.9700000000021</v>
      </c>
      <c r="BG75" s="63">
        <f t="shared" si="91"/>
        <v>145.01000000000005</v>
      </c>
      <c r="BH75" s="64">
        <f t="shared" si="91"/>
        <v>0</v>
      </c>
      <c r="BI75" s="94">
        <f t="shared" si="76"/>
        <v>7465.5966666666682</v>
      </c>
      <c r="BJ75" s="95">
        <f t="shared" si="77"/>
        <v>160.39666666666673</v>
      </c>
      <c r="BK75" s="96">
        <f t="shared" si="78"/>
        <v>0</v>
      </c>
      <c r="BL75" s="87">
        <v>338.58</v>
      </c>
      <c r="BM75" s="88"/>
      <c r="BN75" s="88"/>
      <c r="BO75" s="89"/>
      <c r="BP75" s="62">
        <f t="shared" si="92"/>
        <v>7138.5466666666689</v>
      </c>
      <c r="BQ75" s="63">
        <f t="shared" si="92"/>
        <v>148.85666666666674</v>
      </c>
      <c r="BR75" s="64">
        <f t="shared" si="93"/>
        <v>0</v>
      </c>
      <c r="BS75" s="62">
        <f>+BF75</f>
        <v>7480.9700000000021</v>
      </c>
      <c r="BT75" s="62">
        <f t="shared" si="79"/>
        <v>145.01000000000005</v>
      </c>
      <c r="BU75" s="100">
        <f t="shared" si="79"/>
        <v>0</v>
      </c>
      <c r="BV75" s="62">
        <f t="shared" si="94"/>
        <v>6.9390000000000001</v>
      </c>
      <c r="BW75" s="63">
        <f t="shared" si="94"/>
        <v>-11.54</v>
      </c>
      <c r="BX75" s="64">
        <f t="shared" si="94"/>
        <v>0</v>
      </c>
      <c r="BY75" s="62">
        <f t="shared" si="94"/>
        <v>4.5910000000000002</v>
      </c>
      <c r="BZ75" s="62">
        <f t="shared" si="94"/>
        <v>0</v>
      </c>
      <c r="CA75" s="100">
        <f t="shared" si="94"/>
        <v>0</v>
      </c>
      <c r="CB75" s="62">
        <v>0</v>
      </c>
      <c r="CC75" s="63">
        <v>0</v>
      </c>
      <c r="CD75" s="64">
        <v>0</v>
      </c>
      <c r="CE75" s="62">
        <f t="shared" si="95"/>
        <v>7492.5000000000027</v>
      </c>
      <c r="CF75" s="63">
        <f t="shared" si="95"/>
        <v>133.47000000000006</v>
      </c>
      <c r="CG75" s="64">
        <f t="shared" si="95"/>
        <v>0</v>
      </c>
      <c r="CH75" s="94">
        <f t="shared" si="81"/>
        <v>7473.5442222222255</v>
      </c>
      <c r="CI75" s="95">
        <f t="shared" si="82"/>
        <v>151.42111111111117</v>
      </c>
      <c r="CJ75" s="96">
        <f t="shared" si="83"/>
        <v>0</v>
      </c>
      <c r="CK75" s="87">
        <v>338.58</v>
      </c>
      <c r="CL75" s="88"/>
      <c r="CM75" s="88"/>
      <c r="CN75" s="89"/>
      <c r="CO75" s="62">
        <f t="shared" si="96"/>
        <v>7146.4942222222262</v>
      </c>
      <c r="CP75" s="63">
        <f t="shared" si="96"/>
        <v>139.88111111111118</v>
      </c>
      <c r="CQ75" s="64">
        <f t="shared" si="97"/>
        <v>0</v>
      </c>
    </row>
    <row r="76" spans="1:96" x14ac:dyDescent="0.25">
      <c r="A76" s="61" t="s">
        <v>154</v>
      </c>
      <c r="B76" s="120">
        <f t="shared" ref="B76:BU76" si="98">SUM(B4:B75)</f>
        <v>1055647.6200000001</v>
      </c>
      <c r="C76" s="121">
        <f t="shared" si="98"/>
        <v>29267.830000000005</v>
      </c>
      <c r="D76" s="122">
        <f t="shared" si="98"/>
        <v>39472.119999999995</v>
      </c>
      <c r="E76" s="120">
        <f t="shared" si="98"/>
        <v>1055647.6194655562</v>
      </c>
      <c r="F76" s="121">
        <f t="shared" si="98"/>
        <v>29267.829760000008</v>
      </c>
      <c r="G76" s="122">
        <f t="shared" si="98"/>
        <v>39472.119999999995</v>
      </c>
      <c r="H76" s="120">
        <f t="shared" si="98"/>
        <v>6343.3460000000005</v>
      </c>
      <c r="I76" s="121">
        <f t="shared" si="98"/>
        <v>868.62000000000023</v>
      </c>
      <c r="J76" s="122">
        <f t="shared" si="98"/>
        <v>-550.84400000000005</v>
      </c>
      <c r="K76" s="120">
        <f t="shared" si="98"/>
        <v>35325.103999999999</v>
      </c>
      <c r="L76" s="121">
        <f t="shared" si="98"/>
        <v>578.28</v>
      </c>
      <c r="M76" s="122">
        <f t="shared" si="98"/>
        <v>299.34399999999994</v>
      </c>
      <c r="N76" s="123">
        <f t="shared" si="98"/>
        <v>-34430.75</v>
      </c>
      <c r="O76" s="124">
        <f t="shared" si="98"/>
        <v>2493.1799999999998</v>
      </c>
      <c r="P76" s="125">
        <f t="shared" si="98"/>
        <v>-292.14000000000004</v>
      </c>
      <c r="Q76" s="120">
        <f t="shared" si="98"/>
        <v>1062885.3194655559</v>
      </c>
      <c r="R76" s="121">
        <f t="shared" si="98"/>
        <v>33207.909760000002</v>
      </c>
      <c r="S76" s="122">
        <f t="shared" si="98"/>
        <v>38928.479999999996</v>
      </c>
      <c r="T76" s="120">
        <f t="shared" si="98"/>
        <v>1062885.3194655559</v>
      </c>
      <c r="U76" s="121">
        <f t="shared" si="98"/>
        <v>33207.909760000002</v>
      </c>
      <c r="V76" s="122">
        <f t="shared" si="98"/>
        <v>38928.479999999996</v>
      </c>
      <c r="W76" s="120">
        <f t="shared" si="98"/>
        <v>6343.3460000000005</v>
      </c>
      <c r="X76" s="121">
        <f t="shared" si="98"/>
        <v>868.62000000000023</v>
      </c>
      <c r="Y76" s="122">
        <f t="shared" si="98"/>
        <v>-550.84400000000005</v>
      </c>
      <c r="Z76" s="120">
        <f t="shared" si="98"/>
        <v>28364.610826</v>
      </c>
      <c r="AA76" s="121">
        <f t="shared" si="98"/>
        <v>269.81355400000001</v>
      </c>
      <c r="AB76" s="122">
        <f t="shared" si="98"/>
        <v>162.11395800000003</v>
      </c>
      <c r="AC76" s="120">
        <f t="shared" si="98"/>
        <v>-4072.8713920000005</v>
      </c>
      <c r="AD76" s="121">
        <f t="shared" si="98"/>
        <v>-247.86949200000001</v>
      </c>
      <c r="AE76" s="122">
        <f t="shared" si="98"/>
        <v>-55.776157999999981</v>
      </c>
      <c r="AF76" s="120">
        <f t="shared" si="98"/>
        <v>1093520.404899556</v>
      </c>
      <c r="AG76" s="121">
        <f t="shared" si="98"/>
        <v>34098.473822000007</v>
      </c>
      <c r="AH76" s="122">
        <f t="shared" si="98"/>
        <v>38483.973800000007</v>
      </c>
      <c r="AI76" s="120">
        <f t="shared" si="98"/>
        <v>1068569.9994550375</v>
      </c>
      <c r="AJ76" s="121">
        <f t="shared" si="98"/>
        <v>31901.864527333335</v>
      </c>
      <c r="AK76" s="122">
        <f t="shared" si="98"/>
        <v>39145.139266666665</v>
      </c>
      <c r="AL76" s="120">
        <f t="shared" si="98"/>
        <v>29418.780000000002</v>
      </c>
      <c r="AM76" s="121">
        <f t="shared" si="98"/>
        <v>0</v>
      </c>
      <c r="AN76" s="121">
        <f t="shared" si="98"/>
        <v>2879.4599999999996</v>
      </c>
      <c r="AO76" s="122">
        <f t="shared" si="98"/>
        <v>508.76</v>
      </c>
      <c r="AP76" s="120">
        <f t="shared" si="98"/>
        <v>1042615.1054550376</v>
      </c>
      <c r="AQ76" s="121">
        <f t="shared" si="98"/>
        <v>32261.724527333328</v>
      </c>
      <c r="AR76" s="121">
        <f>SUM(AR4:AR75)</f>
        <v>38594.295266666675</v>
      </c>
      <c r="AS76" s="122">
        <f t="shared" si="98"/>
        <v>38483.973800000007</v>
      </c>
      <c r="AT76" s="120">
        <f t="shared" si="98"/>
        <v>1093520.404899556</v>
      </c>
      <c r="AU76" s="121">
        <f t="shared" si="98"/>
        <v>34098.473822000007</v>
      </c>
      <c r="AV76" s="122">
        <f t="shared" si="98"/>
        <v>38483.973800000007</v>
      </c>
      <c r="AW76" s="120">
        <f t="shared" si="98"/>
        <v>6343.3460000000005</v>
      </c>
      <c r="AX76" s="121">
        <f t="shared" si="98"/>
        <v>868.62000000000023</v>
      </c>
      <c r="AY76" s="122">
        <f t="shared" si="98"/>
        <v>-550.84400000000005</v>
      </c>
      <c r="AZ76" s="120">
        <f t="shared" si="98"/>
        <v>2072.4336825263999</v>
      </c>
      <c r="BA76" s="121">
        <f t="shared" si="98"/>
        <v>101.65657880479999</v>
      </c>
      <c r="BB76" s="122">
        <f t="shared" si="98"/>
        <v>55.253</v>
      </c>
      <c r="BC76" s="120">
        <f t="shared" si="98"/>
        <v>-4744.9501108756012</v>
      </c>
      <c r="BD76" s="121">
        <f t="shared" si="98"/>
        <v>-265.50224241080002</v>
      </c>
      <c r="BE76" s="122">
        <f t="shared" si="98"/>
        <v>-80.441219320000044</v>
      </c>
      <c r="BF76" s="120">
        <f t="shared" si="98"/>
        <v>1097191.234471207</v>
      </c>
      <c r="BG76" s="121">
        <f t="shared" si="98"/>
        <v>34803.24815839401</v>
      </c>
      <c r="BH76" s="122">
        <f t="shared" si="98"/>
        <v>37907.941580679988</v>
      </c>
      <c r="BI76" s="120">
        <f t="shared" si="98"/>
        <v>1081727.0597179313</v>
      </c>
      <c r="BJ76" s="121">
        <f t="shared" si="98"/>
        <v>33713.118387196409</v>
      </c>
      <c r="BK76" s="122">
        <f t="shared" si="98"/>
        <v>38605.328793560002</v>
      </c>
      <c r="BL76" s="120">
        <f t="shared" si="98"/>
        <v>29418.780000000002</v>
      </c>
      <c r="BM76" s="121">
        <f t="shared" si="98"/>
        <v>0</v>
      </c>
      <c r="BN76" s="121">
        <f t="shared" si="98"/>
        <v>2879.4599999999996</v>
      </c>
      <c r="BO76" s="122">
        <f t="shared" si="98"/>
        <v>508.76</v>
      </c>
      <c r="BP76" s="120">
        <f t="shared" si="98"/>
        <v>1057844.5994004575</v>
      </c>
      <c r="BQ76" s="121">
        <f t="shared" si="98"/>
        <v>34174.634966001198</v>
      </c>
      <c r="BR76" s="122">
        <f t="shared" si="98"/>
        <v>38109.737793559994</v>
      </c>
      <c r="BS76" s="120">
        <f t="shared" si="98"/>
        <v>1097191.234471207</v>
      </c>
      <c r="BT76" s="121">
        <f t="shared" si="98"/>
        <v>34803.24815839401</v>
      </c>
      <c r="BU76" s="122">
        <f t="shared" si="98"/>
        <v>37907.941580679988</v>
      </c>
      <c r="BV76" s="120">
        <f t="shared" ref="BV76:CQ76" si="99">SUM(BV4:BV75)</f>
        <v>6343.3460000000005</v>
      </c>
      <c r="BW76" s="121">
        <f t="shared" si="99"/>
        <v>868.62000000000023</v>
      </c>
      <c r="BX76" s="122">
        <f t="shared" si="99"/>
        <v>-550.84400000000005</v>
      </c>
      <c r="BY76" s="120">
        <f t="shared" si="99"/>
        <v>2072.2599999999998</v>
      </c>
      <c r="BZ76" s="121">
        <f t="shared" si="99"/>
        <v>101.654</v>
      </c>
      <c r="CA76" s="122">
        <f t="shared" si="99"/>
        <v>55.253</v>
      </c>
      <c r="CB76" s="120">
        <f t="shared" si="99"/>
        <v>-4743.6711853398147</v>
      </c>
      <c r="CC76" s="121">
        <f t="shared" si="99"/>
        <v>-264.66286175453962</v>
      </c>
      <c r="CD76" s="122">
        <f t="shared" si="99"/>
        <v>-80.080050174312035</v>
      </c>
      <c r="CE76" s="120">
        <f t="shared" si="99"/>
        <v>1100863.1692858671</v>
      </c>
      <c r="CF76" s="121">
        <f t="shared" si="99"/>
        <v>35508.859296639457</v>
      </c>
      <c r="CG76" s="122">
        <f t="shared" si="99"/>
        <v>37332.270530505688</v>
      </c>
      <c r="CH76" s="120">
        <f t="shared" si="99"/>
        <v>1085834.5827137877</v>
      </c>
      <c r="CI76" s="121">
        <f t="shared" si="99"/>
        <v>33997.488263324667</v>
      </c>
      <c r="CJ76" s="122">
        <f t="shared" si="99"/>
        <v>38177.298196910793</v>
      </c>
      <c r="CK76" s="120">
        <f t="shared" si="99"/>
        <v>29418.780000000002</v>
      </c>
      <c r="CL76" s="121">
        <f t="shared" si="99"/>
        <v>0</v>
      </c>
      <c r="CM76" s="121">
        <f t="shared" si="99"/>
        <v>2879.4599999999996</v>
      </c>
      <c r="CN76" s="122">
        <f t="shared" si="99"/>
        <v>508.76</v>
      </c>
      <c r="CO76" s="120">
        <f t="shared" si="99"/>
        <v>1061951.9487137874</v>
      </c>
      <c r="CP76" s="121">
        <f t="shared" si="99"/>
        <v>34459.00226332467</v>
      </c>
      <c r="CQ76" s="122">
        <f t="shared" si="99"/>
        <v>37681.707196910778</v>
      </c>
      <c r="CR76" s="63"/>
    </row>
    <row r="78" spans="1:96" s="71" customFormat="1" ht="25" x14ac:dyDescent="0.25">
      <c r="AP78" s="126" t="s">
        <v>285</v>
      </c>
      <c r="AQ78" s="126" t="s">
        <v>285</v>
      </c>
      <c r="AR78" s="126"/>
      <c r="AS78" s="126" t="s">
        <v>285</v>
      </c>
      <c r="BP78" s="126" t="s">
        <v>286</v>
      </c>
      <c r="BQ78" s="126" t="s">
        <v>286</v>
      </c>
      <c r="BR78" s="126" t="s">
        <v>286</v>
      </c>
      <c r="CO78" s="126" t="s">
        <v>286</v>
      </c>
      <c r="CP78" s="126" t="s">
        <v>286</v>
      </c>
      <c r="CQ78" s="126" t="s">
        <v>286</v>
      </c>
    </row>
    <row r="79" spans="1:96" ht="13" x14ac:dyDescent="0.3">
      <c r="B79" s="127"/>
      <c r="C79" s="127"/>
      <c r="D79" s="127"/>
      <c r="E79" s="127"/>
      <c r="F79" s="127"/>
      <c r="G79" s="127"/>
      <c r="H79" s="127"/>
      <c r="I79" s="127"/>
      <c r="J79" s="127"/>
      <c r="K79" s="127"/>
      <c r="L79" s="127"/>
      <c r="M79" s="127"/>
      <c r="N79" s="127"/>
      <c r="O79" s="127"/>
      <c r="P79" s="127"/>
      <c r="Q79" s="127"/>
      <c r="R79" s="127"/>
      <c r="S79" s="127"/>
    </row>
    <row r="80" spans="1:96" ht="13" x14ac:dyDescent="0.3">
      <c r="B80" s="127"/>
      <c r="C80" s="127"/>
      <c r="D80" s="127"/>
      <c r="E80" s="127"/>
      <c r="F80" s="127"/>
      <c r="G80" s="127"/>
      <c r="H80" s="127"/>
      <c r="I80" s="127"/>
      <c r="J80" s="127"/>
      <c r="K80" s="127"/>
      <c r="L80" s="127"/>
      <c r="M80" s="127"/>
      <c r="N80" s="127"/>
      <c r="O80" s="127"/>
      <c r="P80" s="127"/>
      <c r="Q80" s="127"/>
      <c r="R80" s="127"/>
      <c r="S80" s="127"/>
      <c r="T80" s="127"/>
      <c r="AT80" s="127" t="s">
        <v>287</v>
      </c>
      <c r="BS80" s="127" t="s">
        <v>288</v>
      </c>
    </row>
  </sheetData>
  <mergeCells count="5">
    <mergeCell ref="B1:D1"/>
    <mergeCell ref="E1:S1"/>
    <mergeCell ref="T1:AS1"/>
    <mergeCell ref="AT1:BR1"/>
    <mergeCell ref="BS1:C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L79"/>
  <sheetViews>
    <sheetView workbookViewId="0">
      <selection activeCell="F15" sqref="F15"/>
    </sheetView>
  </sheetViews>
  <sheetFormatPr defaultRowHeight="14.5" x14ac:dyDescent="0.35"/>
  <cols>
    <col min="1" max="1" width="54" style="146" bestFit="1" customWidth="1"/>
  </cols>
  <sheetData>
    <row r="1" spans="1:12" ht="24" customHeight="1" x14ac:dyDescent="0.35">
      <c r="A1" s="245" t="s">
        <v>532</v>
      </c>
      <c r="B1" s="246"/>
      <c r="C1" s="246"/>
      <c r="D1" s="246"/>
      <c r="E1" s="246"/>
      <c r="F1" s="246"/>
      <c r="G1" s="246"/>
      <c r="H1" s="246"/>
      <c r="I1" s="246"/>
      <c r="J1" s="246"/>
      <c r="K1" s="246"/>
      <c r="L1" s="246"/>
    </row>
    <row r="2" spans="1:12" x14ac:dyDescent="0.35">
      <c r="A2" s="146" t="s">
        <v>38</v>
      </c>
      <c r="B2" t="s">
        <v>514</v>
      </c>
    </row>
    <row r="3" spans="1:12" x14ac:dyDescent="0.35">
      <c r="A3" s="146" t="s">
        <v>39</v>
      </c>
      <c r="B3" t="s">
        <v>517</v>
      </c>
    </row>
    <row r="4" spans="1:12" x14ac:dyDescent="0.35">
      <c r="A4" s="146" t="s">
        <v>40</v>
      </c>
      <c r="B4" t="s">
        <v>518</v>
      </c>
    </row>
    <row r="5" spans="1:12" x14ac:dyDescent="0.35">
      <c r="A5" s="146" t="s">
        <v>41</v>
      </c>
      <c r="B5" t="s">
        <v>518</v>
      </c>
    </row>
    <row r="6" spans="1:12" x14ac:dyDescent="0.35">
      <c r="A6" s="146" t="s">
        <v>42</v>
      </c>
      <c r="B6" t="s">
        <v>519</v>
      </c>
    </row>
    <row r="7" spans="1:12" x14ac:dyDescent="0.35">
      <c r="A7" s="146" t="s">
        <v>43</v>
      </c>
      <c r="B7" t="s">
        <v>519</v>
      </c>
    </row>
    <row r="8" spans="1:12" x14ac:dyDescent="0.35">
      <c r="A8" s="146" t="s">
        <v>44</v>
      </c>
      <c r="B8" t="s">
        <v>520</v>
      </c>
    </row>
    <row r="9" spans="1:12" x14ac:dyDescent="0.35">
      <c r="A9" s="146" t="s">
        <v>45</v>
      </c>
      <c r="B9" t="s">
        <v>517</v>
      </c>
    </row>
    <row r="10" spans="1:12" x14ac:dyDescent="0.35">
      <c r="A10" s="146" t="s">
        <v>46</v>
      </c>
    </row>
    <row r="11" spans="1:12" x14ac:dyDescent="0.35">
      <c r="A11" s="146" t="s">
        <v>47</v>
      </c>
    </row>
    <row r="12" spans="1:12" x14ac:dyDescent="0.35">
      <c r="A12" s="146" t="s">
        <v>48</v>
      </c>
      <c r="B12" t="s">
        <v>521</v>
      </c>
    </row>
    <row r="13" spans="1:12" x14ac:dyDescent="0.35">
      <c r="A13" s="146" t="s">
        <v>49</v>
      </c>
      <c r="B13" t="s">
        <v>521</v>
      </c>
    </row>
    <row r="14" spans="1:12" x14ac:dyDescent="0.35">
      <c r="A14" s="146" t="s">
        <v>50</v>
      </c>
      <c r="B14" t="s">
        <v>521</v>
      </c>
    </row>
    <row r="15" spans="1:12" x14ac:dyDescent="0.35">
      <c r="A15" s="146" t="s">
        <v>51</v>
      </c>
      <c r="B15" t="s">
        <v>521</v>
      </c>
    </row>
    <row r="16" spans="1:12" x14ac:dyDescent="0.35">
      <c r="A16" s="146" t="s">
        <v>52</v>
      </c>
      <c r="B16" t="s">
        <v>522</v>
      </c>
    </row>
    <row r="17" spans="1:2" x14ac:dyDescent="0.35">
      <c r="A17" s="146" t="s">
        <v>53</v>
      </c>
      <c r="B17" t="s">
        <v>521</v>
      </c>
    </row>
    <row r="18" spans="1:2" x14ac:dyDescent="0.35">
      <c r="A18" s="146" t="s">
        <v>54</v>
      </c>
      <c r="B18" t="s">
        <v>518</v>
      </c>
    </row>
    <row r="19" spans="1:2" x14ac:dyDescent="0.35">
      <c r="A19" s="146" t="s">
        <v>55</v>
      </c>
      <c r="B19" t="s">
        <v>523</v>
      </c>
    </row>
    <row r="20" spans="1:2" x14ac:dyDescent="0.35">
      <c r="A20" s="146" t="s">
        <v>56</v>
      </c>
    </row>
    <row r="21" spans="1:2" x14ac:dyDescent="0.35">
      <c r="A21" s="146" t="s">
        <v>57</v>
      </c>
      <c r="B21" t="s">
        <v>517</v>
      </c>
    </row>
    <row r="22" spans="1:2" x14ac:dyDescent="0.35">
      <c r="A22" s="146" t="s">
        <v>58</v>
      </c>
      <c r="B22" t="s">
        <v>518</v>
      </c>
    </row>
    <row r="23" spans="1:2" x14ac:dyDescent="0.35">
      <c r="A23" s="146" t="s">
        <v>59</v>
      </c>
      <c r="B23" t="s">
        <v>518</v>
      </c>
    </row>
    <row r="24" spans="1:2" x14ac:dyDescent="0.35">
      <c r="A24" s="146" t="s">
        <v>60</v>
      </c>
      <c r="B24" t="s">
        <v>519</v>
      </c>
    </row>
    <row r="25" spans="1:2" x14ac:dyDescent="0.35">
      <c r="A25" s="146" t="s">
        <v>61</v>
      </c>
    </row>
    <row r="26" spans="1:2" x14ac:dyDescent="0.35">
      <c r="A26" s="146" t="s">
        <v>62</v>
      </c>
      <c r="B26" t="s">
        <v>518</v>
      </c>
    </row>
    <row r="27" spans="1:2" x14ac:dyDescent="0.35">
      <c r="A27" s="146" t="s">
        <v>63</v>
      </c>
      <c r="B27" t="s">
        <v>523</v>
      </c>
    </row>
    <row r="28" spans="1:2" x14ac:dyDescent="0.35">
      <c r="A28" s="146" t="s">
        <v>64</v>
      </c>
      <c r="B28" t="s">
        <v>517</v>
      </c>
    </row>
    <row r="29" spans="1:2" x14ac:dyDescent="0.35">
      <c r="A29" s="146" t="s">
        <v>65</v>
      </c>
      <c r="B29" t="s">
        <v>518</v>
      </c>
    </row>
    <row r="30" spans="1:2" x14ac:dyDescent="0.35">
      <c r="A30" s="146" t="s">
        <v>66</v>
      </c>
      <c r="B30" t="s">
        <v>517</v>
      </c>
    </row>
    <row r="31" spans="1:2" x14ac:dyDescent="0.35">
      <c r="A31" s="146" t="s">
        <v>67</v>
      </c>
      <c r="B31" t="s">
        <v>523</v>
      </c>
    </row>
    <row r="32" spans="1:2" x14ac:dyDescent="0.35">
      <c r="A32" s="146" t="s">
        <v>68</v>
      </c>
      <c r="B32" t="s">
        <v>517</v>
      </c>
    </row>
    <row r="33" spans="1:2" x14ac:dyDescent="0.35">
      <c r="A33" s="146" t="s">
        <v>69</v>
      </c>
      <c r="B33" t="s">
        <v>517</v>
      </c>
    </row>
    <row r="34" spans="1:2" x14ac:dyDescent="0.35">
      <c r="A34" s="146" t="s">
        <v>70</v>
      </c>
      <c r="B34" t="s">
        <v>518</v>
      </c>
    </row>
    <row r="35" spans="1:2" x14ac:dyDescent="0.35">
      <c r="A35" s="146" t="s">
        <v>71</v>
      </c>
      <c r="B35" t="s">
        <v>517</v>
      </c>
    </row>
    <row r="36" spans="1:2" x14ac:dyDescent="0.35">
      <c r="A36" s="146" t="s">
        <v>72</v>
      </c>
      <c r="B36" t="s">
        <v>524</v>
      </c>
    </row>
    <row r="37" spans="1:2" x14ac:dyDescent="0.35">
      <c r="A37" s="146" t="s">
        <v>73</v>
      </c>
      <c r="B37" t="s">
        <v>517</v>
      </c>
    </row>
    <row r="38" spans="1:2" x14ac:dyDescent="0.35">
      <c r="A38" s="146" t="s">
        <v>74</v>
      </c>
      <c r="B38" t="s">
        <v>518</v>
      </c>
    </row>
    <row r="39" spans="1:2" x14ac:dyDescent="0.35">
      <c r="A39" s="146" t="s">
        <v>75</v>
      </c>
      <c r="B39" t="s">
        <v>517</v>
      </c>
    </row>
    <row r="40" spans="1:2" x14ac:dyDescent="0.35">
      <c r="A40" s="146" t="s">
        <v>76</v>
      </c>
      <c r="B40" t="s">
        <v>517</v>
      </c>
    </row>
    <row r="41" spans="1:2" x14ac:dyDescent="0.35">
      <c r="A41" s="146" t="s">
        <v>77</v>
      </c>
      <c r="B41" t="s">
        <v>518</v>
      </c>
    </row>
    <row r="42" spans="1:2" x14ac:dyDescent="0.35">
      <c r="A42" s="146" t="s">
        <v>78</v>
      </c>
      <c r="B42" t="s">
        <v>518</v>
      </c>
    </row>
    <row r="43" spans="1:2" x14ac:dyDescent="0.35">
      <c r="A43" s="146" t="s">
        <v>79</v>
      </c>
    </row>
    <row r="44" spans="1:2" x14ac:dyDescent="0.35">
      <c r="A44" s="146" t="s">
        <v>80</v>
      </c>
      <c r="B44" t="s">
        <v>521</v>
      </c>
    </row>
    <row r="45" spans="1:2" x14ac:dyDescent="0.35">
      <c r="A45" s="146" t="s">
        <v>81</v>
      </c>
      <c r="B45" t="s">
        <v>521</v>
      </c>
    </row>
    <row r="46" spans="1:2" x14ac:dyDescent="0.35">
      <c r="A46" s="146" t="s">
        <v>82</v>
      </c>
      <c r="B46" t="s">
        <v>517</v>
      </c>
    </row>
    <row r="47" spans="1:2" x14ac:dyDescent="0.35">
      <c r="A47" s="146" t="s">
        <v>83</v>
      </c>
      <c r="B47" t="s">
        <v>521</v>
      </c>
    </row>
    <row r="48" spans="1:2" x14ac:dyDescent="0.35">
      <c r="A48" s="146" t="s">
        <v>84</v>
      </c>
    </row>
    <row r="49" spans="1:2" x14ac:dyDescent="0.35">
      <c r="A49" s="146" t="s">
        <v>85</v>
      </c>
      <c r="B49" t="s">
        <v>521</v>
      </c>
    </row>
    <row r="50" spans="1:2" x14ac:dyDescent="0.35">
      <c r="A50" s="146" t="s">
        <v>86</v>
      </c>
    </row>
    <row r="51" spans="1:2" x14ac:dyDescent="0.35">
      <c r="A51" s="146" t="s">
        <v>87</v>
      </c>
      <c r="B51" t="s">
        <v>519</v>
      </c>
    </row>
    <row r="52" spans="1:2" x14ac:dyDescent="0.35">
      <c r="A52" s="146" t="s">
        <v>88</v>
      </c>
      <c r="B52" t="s">
        <v>521</v>
      </c>
    </row>
    <row r="53" spans="1:2" x14ac:dyDescent="0.35">
      <c r="A53" s="146" t="s">
        <v>89</v>
      </c>
      <c r="B53" t="s">
        <v>525</v>
      </c>
    </row>
    <row r="54" spans="1:2" x14ac:dyDescent="0.35">
      <c r="A54" s="146" t="s">
        <v>90</v>
      </c>
      <c r="B54" t="s">
        <v>521</v>
      </c>
    </row>
    <row r="55" spans="1:2" x14ac:dyDescent="0.35">
      <c r="A55" s="146" t="s">
        <v>91</v>
      </c>
      <c r="B55" t="s">
        <v>526</v>
      </c>
    </row>
    <row r="56" spans="1:2" x14ac:dyDescent="0.35">
      <c r="A56" s="146" t="s">
        <v>92</v>
      </c>
      <c r="B56" t="s">
        <v>527</v>
      </c>
    </row>
    <row r="57" spans="1:2" x14ac:dyDescent="0.35">
      <c r="A57" s="146" t="s">
        <v>93</v>
      </c>
    </row>
    <row r="58" spans="1:2" x14ac:dyDescent="0.35">
      <c r="A58" s="146" t="s">
        <v>94</v>
      </c>
      <c r="B58" t="s">
        <v>517</v>
      </c>
    </row>
    <row r="59" spans="1:2" x14ac:dyDescent="0.35">
      <c r="A59" s="146" t="s">
        <v>95</v>
      </c>
    </row>
    <row r="60" spans="1:2" x14ac:dyDescent="0.35">
      <c r="A60" s="146" t="s">
        <v>96</v>
      </c>
      <c r="B60" t="s">
        <v>517</v>
      </c>
    </row>
    <row r="61" spans="1:2" x14ac:dyDescent="0.35">
      <c r="A61" s="146" t="s">
        <v>97</v>
      </c>
      <c r="B61" t="s">
        <v>521</v>
      </c>
    </row>
    <row r="62" spans="1:2" x14ac:dyDescent="0.35">
      <c r="A62" s="146" t="s">
        <v>98</v>
      </c>
      <c r="B62" t="s">
        <v>519</v>
      </c>
    </row>
    <row r="63" spans="1:2" x14ac:dyDescent="0.35">
      <c r="A63" s="146" t="s">
        <v>99</v>
      </c>
      <c r="B63" t="s">
        <v>521</v>
      </c>
    </row>
    <row r="64" spans="1:2" x14ac:dyDescent="0.35">
      <c r="A64" s="146" t="s">
        <v>100</v>
      </c>
      <c r="B64" t="s">
        <v>521</v>
      </c>
    </row>
    <row r="65" spans="1:2" x14ac:dyDescent="0.35">
      <c r="A65" s="146" t="s">
        <v>101</v>
      </c>
      <c r="B65" t="s">
        <v>518</v>
      </c>
    </row>
    <row r="66" spans="1:2" x14ac:dyDescent="0.35">
      <c r="A66" s="146" t="s">
        <v>102</v>
      </c>
      <c r="B66" t="s">
        <v>518</v>
      </c>
    </row>
    <row r="67" spans="1:2" x14ac:dyDescent="0.35">
      <c r="A67" s="146" t="s">
        <v>103</v>
      </c>
      <c r="B67" t="s">
        <v>521</v>
      </c>
    </row>
    <row r="68" spans="1:2" x14ac:dyDescent="0.35">
      <c r="A68" s="146" t="s">
        <v>104</v>
      </c>
      <c r="B68" t="s">
        <v>521</v>
      </c>
    </row>
    <row r="69" spans="1:2" x14ac:dyDescent="0.35">
      <c r="A69" s="146" t="s">
        <v>105</v>
      </c>
    </row>
    <row r="70" spans="1:2" x14ac:dyDescent="0.35">
      <c r="A70" s="146" t="s">
        <v>106</v>
      </c>
    </row>
    <row r="71" spans="1:2" x14ac:dyDescent="0.35">
      <c r="A71" s="146" t="s">
        <v>107</v>
      </c>
    </row>
    <row r="72" spans="1:2" x14ac:dyDescent="0.35">
      <c r="A72" s="146" t="s">
        <v>108</v>
      </c>
      <c r="B72" t="s">
        <v>519</v>
      </c>
    </row>
    <row r="73" spans="1:2" x14ac:dyDescent="0.35">
      <c r="A73" s="146" t="s">
        <v>109</v>
      </c>
      <c r="B73" t="s">
        <v>521</v>
      </c>
    </row>
    <row r="74" spans="1:2" x14ac:dyDescent="0.35">
      <c r="A74" s="146" t="s">
        <v>110</v>
      </c>
    </row>
    <row r="75" spans="1:2" x14ac:dyDescent="0.35">
      <c r="A75" s="146" t="s">
        <v>528</v>
      </c>
    </row>
    <row r="77" spans="1:2" ht="15.5" x14ac:dyDescent="0.35">
      <c r="A77" s="146" t="s">
        <v>529</v>
      </c>
    </row>
    <row r="78" spans="1:2" ht="15.5" x14ac:dyDescent="0.35">
      <c r="A78" s="146" t="s">
        <v>530</v>
      </c>
    </row>
    <row r="79" spans="1:2" ht="15.5" x14ac:dyDescent="0.35">
      <c r="A79" s="146" t="s">
        <v>531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MacroInformation</vt:lpstr>
      <vt:lpstr>WeightingFactors</vt:lpstr>
      <vt:lpstr>Allocations</vt:lpstr>
      <vt:lpstr>Base $</vt:lpstr>
      <vt:lpstr>Supplement $</vt:lpstr>
      <vt:lpstr>Success $</vt:lpstr>
      <vt:lpstr>DATADefinitions</vt:lpstr>
      <vt:lpstr>Base-AllFTES Data</vt:lpstr>
      <vt:lpstr>2018-19FTESAssumptions</vt:lpstr>
      <vt:lpstr>Base-BasicAllocations</vt:lpstr>
      <vt:lpstr>FTESRateCalc</vt:lpstr>
      <vt:lpstr>Supplemental Data</vt:lpstr>
      <vt:lpstr>Success Data</vt:lpstr>
      <vt:lpstr>Combo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Darcie Harvey</dc:creator>
  <cp:lastModifiedBy>Lina Chen</cp:lastModifiedBy>
  <cp:lastPrinted>2018-05-22T14:39:39Z</cp:lastPrinted>
  <dcterms:created xsi:type="dcterms:W3CDTF">2018-05-02T16:04:44Z</dcterms:created>
  <dcterms:modified xsi:type="dcterms:W3CDTF">2018-05-22T14:39:45Z</dcterms:modified>
</cp:coreProperties>
</file>